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heurich\Desktop\"/>
    </mc:Choice>
  </mc:AlternateContent>
  <bookViews>
    <workbookView xWindow="0" yWindow="0" windowWidth="28800" windowHeight="12588" tabRatio="789" activeTab="3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r:id="rId8"/>
    <sheet name="Wochentag F(WT)" sheetId="4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W23" i="7" l="1"/>
  <c r="V23" i="7"/>
  <c r="U23" i="7"/>
  <c r="T23" i="7"/>
  <c r="S23" i="7"/>
  <c r="R23" i="7"/>
  <c r="E7" i="18"/>
  <c r="E6" i="18"/>
  <c r="E4" i="18"/>
  <c r="E6" i="17"/>
  <c r="E4" i="17"/>
  <c r="X23" i="7" l="1"/>
  <c r="C33" i="15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F53" i="18"/>
  <c r="M63" i="18"/>
  <c r="I53" i="18"/>
  <c r="N53" i="18"/>
  <c r="E53" i="18"/>
  <c r="J53" i="18"/>
  <c r="F63" i="18"/>
  <c r="K63" i="18"/>
  <c r="D22" i="18"/>
  <c r="F21" i="18" s="1"/>
  <c r="G53" i="18"/>
  <c r="D56" i="18" s="1"/>
  <c r="J55" i="18" s="1"/>
  <c r="M53" i="18"/>
  <c r="I63" i="18"/>
  <c r="N63" i="18"/>
  <c r="N21" i="18"/>
  <c r="I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L21" i="18" l="1"/>
  <c r="J21" i="18"/>
  <c r="K21" i="18"/>
  <c r="M21" i="18"/>
  <c r="H21" i="18"/>
  <c r="E31" i="18"/>
  <c r="D66" i="18"/>
  <c r="K65" i="18" s="1"/>
  <c r="L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S12" i="7"/>
  <c r="T12" i="7"/>
  <c r="U12" i="7"/>
  <c r="V12" i="7"/>
  <c r="W12" i="7"/>
  <c r="R12" i="7"/>
  <c r="X12" i="7" l="1"/>
  <c r="X21" i="7"/>
  <c r="X13" i="7"/>
  <c r="X11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3" i="7" l="1"/>
  <c r="L23" i="7"/>
  <c r="H23" i="7"/>
  <c r="O23" i="7"/>
  <c r="K23" i="7"/>
  <c r="F23" i="7"/>
  <c r="N23" i="7"/>
  <c r="J23" i="7"/>
  <c r="M23" i="7"/>
  <c r="I2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P11" i="7"/>
  <c r="I14" i="7"/>
  <c r="H15" i="7"/>
  <c r="P15" i="7"/>
  <c r="O16" i="7"/>
  <c r="N17" i="7"/>
  <c r="M18" i="7"/>
  <c r="L19" i="7"/>
  <c r="K20" i="7"/>
  <c r="J21" i="7"/>
  <c r="I22" i="7"/>
  <c r="M11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O11" i="7"/>
  <c r="J11" i="7"/>
  <c r="H14" i="7"/>
  <c r="P14" i="7"/>
  <c r="O15" i="7"/>
  <c r="J16" i="7"/>
  <c r="I17" i="7"/>
  <c r="H18" i="7"/>
  <c r="P18" i="7"/>
  <c r="O19" i="7"/>
  <c r="N20" i="7"/>
  <c r="M21" i="7"/>
  <c r="L22" i="7"/>
  <c r="K11" i="7"/>
  <c r="M14" i="7"/>
  <c r="L15" i="7"/>
  <c r="K16" i="7"/>
  <c r="J17" i="7"/>
  <c r="I18" i="7"/>
  <c r="H19" i="7"/>
  <c r="P19" i="7"/>
  <c r="O20" i="7"/>
  <c r="N21" i="7"/>
  <c r="M22" i="7"/>
  <c r="I11" i="7"/>
  <c r="F21" i="7"/>
  <c r="F19" i="7"/>
  <c r="F17" i="7"/>
  <c r="F15" i="7"/>
  <c r="F22" i="7"/>
  <c r="F20" i="7"/>
  <c r="F18" i="7"/>
  <c r="F16" i="7"/>
  <c r="F14" i="7"/>
  <c r="F11" i="7"/>
  <c r="M8" i="4"/>
  <c r="M7" i="4"/>
  <c r="D6" i="15"/>
  <c r="D6" i="7"/>
  <c r="Q23" i="7" l="1"/>
  <c r="Q18" i="7"/>
  <c r="Q15" i="7"/>
  <c r="Q11" i="7"/>
  <c r="Q20" i="7"/>
  <c r="Q16" i="7"/>
  <c r="Q21" i="7"/>
  <c r="Q22" i="7"/>
  <c r="Q19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<sst xmlns="http://schemas.openxmlformats.org/spreadsheetml/2006/main" count="1372" uniqueCount="677">
  <si>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</si>
  <si>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</si>
  <si>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</si>
  <si>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</si>
  <si>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</si>
  <si>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</si>
  <si>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</si>
  <si>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</si>
  <si>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</si>
  <si>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</si>
  <si>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</si>
  <si>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</si>
  <si>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</si>
  <si>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</si>
  <si>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</si>
  <si>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</si>
  <si>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</si>
  <si>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</si>
  <si>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</si>
  <si>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</si>
  <si>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</si>
  <si>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</si>
  <si>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</si>
  <si>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</si>
  <si>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</si>
  <si>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</si>
  <si>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</si>
  <si>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</si>
  <si>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</si>
  <si>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</si>
  <si>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</si>
  <si>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</si>
  <si>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</si>
  <si>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</si>
  <si>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</si>
  <si>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</si>
  <si>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</si>
  <si>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</si>
  <si>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</si>
  <si>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</si>
  <si>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</si>
  <si>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</si>
  <si>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</si>
  <si>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</si>
  <si>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</si>
  <si>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</si>
  <si>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</si>
  <si>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</si>
  <si>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</si>
  <si>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</si>
  <si>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</si>
  <si>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</si>
  <si>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</si>
  <si>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</si>
  <si>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</si>
  <si>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</si>
  <si>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</si>
  <si>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</si>
  <si>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</si>
  <si>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</si>
  <si>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</si>
  <si>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</si>
  <si>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</si>
  <si>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</si>
  <si>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</si>
  <si>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</si>
  <si>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</si>
  <si>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</si>
  <si>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</si>
  <si>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</si>
  <si>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</si>
  <si>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</si>
  <si>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</si>
  <si>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</si>
  <si>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</si>
  <si>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</si>
  <si>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</si>
  <si>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</si>
  <si>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</si>
  <si>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</si>
  <si>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</si>
  <si>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</si>
  <si>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</si>
  <si>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</si>
  <si>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</si>
  <si>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</si>
  <si>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</si>
  <si>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</si>
  <si>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</si>
  <si>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</si>
  <si>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</si>
  <si>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</si>
  <si>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</si>
  <si>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</si>
  <si>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</si>
  <si>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</si>
  <si>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</si>
  <si>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</si>
  <si>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</si>
  <si>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</si>
  <si>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</si>
  <si>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</si>
  <si>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</si>
  <si>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</si>
  <si>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</si>
  <si>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</si>
  <si>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</si>
  <si>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</si>
  <si>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</si>
  <si>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</si>
  <si>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</si>
  <si>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</si>
  <si>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</si>
  <si>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</si>
  <si>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</si>
  <si>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</si>
  <si>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</si>
  <si>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</si>
  <si>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</si>
  <si>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</si>
  <si>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</si>
  <si>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</si>
  <si>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</si>
  <si>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</si>
  <si>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</si>
  <si>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</si>
  <si>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</si>
  <si>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</si>
  <si>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</si>
  <si>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</si>
  <si>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</si>
  <si>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</si>
  <si>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</si>
  <si>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</si>
  <si>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</si>
  <si>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</si>
  <si>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</si>
  <si>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</si>
  <si>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</si>
  <si>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</si>
  <si>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</si>
  <si>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</si>
  <si>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</si>
  <si>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</si>
  <si>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</si>
  <si>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</si>
  <si>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</si>
  <si>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</si>
  <si>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</si>
  <si>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</si>
  <si>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</si>
  <si>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</si>
  <si>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</si>
  <si>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</si>
  <si>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</si>
  <si>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</si>
  <si>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</si>
  <si>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</si>
  <si>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</si>
  <si>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</si>
  <si>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</si>
  <si>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</si>
  <si>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</si>
  <si>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</si>
  <si>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</si>
  <si>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</si>
  <si>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</si>
  <si>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</si>
  <si>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</si>
  <si>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</si>
  <si>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</si>
  <si>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</si>
  <si>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</si>
  <si>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</si>
  <si>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</si>
  <si>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</si>
  <si>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</si>
  <si>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</si>
  <si>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</si>
  <si>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</si>
  <si>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</si>
  <si>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</si>
  <si>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</si>
  <si>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</si>
  <si>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</si>
  <si>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</si>
  <si>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</si>
  <si>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</si>
  <si>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</si>
  <si>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</si>
  <si>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</si>
  <si>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</si>
  <si>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</si>
  <si>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</si>
  <si>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</si>
  <si>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</si>
  <si>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</si>
  <si>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</si>
  <si>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</si>
  <si>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</si>
  <si>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</si>
  <si>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</si>
  <si>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</si>
  <si>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</si>
  <si>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</si>
  <si>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</si>
  <si>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</si>
  <si>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</si>
  <si>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</si>
  <si>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</si>
  <si>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</si>
  <si>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</si>
  <si>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</si>
  <si>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</si>
  <si>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</si>
  <si>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</si>
  <si>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</si>
  <si>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</si>
  <si>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</si>
  <si>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</si>
  <si>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</si>
  <si>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</si>
  <si>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</si>
  <si>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</si>
  <si>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</si>
  <si>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</si>
  <si>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</si>
  <si>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</si>
  <si>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</si>
  <si>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</si>
  <si>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</si>
  <si>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</si>
  <si>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</si>
  <si>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</si>
  <si>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</si>
  <si>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</si>
  <si>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</si>
  <si>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</si>
  <si>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</si>
  <si>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</si>
  <si>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</si>
  <si>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</si>
  <si>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</si>
  <si>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</si>
  <si>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</si>
  <si>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</si>
  <si>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</si>
  <si>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</si>
  <si>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</si>
  <si>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</si>
  <si>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</si>
  <si>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</si>
  <si>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</si>
  <si>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</si>
  <si>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</si>
  <si>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</si>
  <si>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</si>
  <si>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</si>
  <si>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</si>
  <si>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</si>
  <si>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</si>
  <si>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</si>
  <si>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</si>
  <si>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</si>
  <si>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</si>
  <si>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</si>
  <si>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</si>
  <si>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</si>
  <si>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</si>
  <si>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</si>
  <si>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</si>
  <si>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</si>
  <si>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</si>
  <si>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</si>
  <si>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</si>
  <si>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</si>
  <si>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</si>
  <si>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</si>
  <si>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</si>
  <si>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</si>
  <si>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</si>
  <si>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</si>
  <si>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</si>
  <si>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</si>
  <si>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</si>
  <si>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</si>
  <si>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</si>
  <si>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</si>
  <si>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</si>
  <si>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</si>
  <si>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</si>
  <si>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</si>
  <si>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</si>
  <si>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</si>
  <si>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</si>
  <si>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</si>
  <si>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</si>
  <si>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</si>
  <si>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</si>
  <si>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</si>
  <si>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</si>
  <si>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</si>
  <si>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</si>
  <si>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</si>
  <si>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</si>
  <si>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</si>
  <si>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</si>
  <si>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</si>
  <si>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</si>
  <si>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</si>
  <si>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</si>
  <si>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</si>
  <si>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</si>
  <si>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</si>
  <si>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</si>
  <si>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</si>
  <si>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</si>
  <si>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</si>
  <si>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</si>
  <si>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</si>
  <si>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</si>
  <si>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</si>
  <si>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</si>
  <si>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</si>
  <si>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</si>
  <si>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</si>
  <si>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</si>
  <si>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</si>
  <si>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</si>
  <si>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</si>
  <si>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</si>
  <si>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</si>
  <si>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</si>
  <si>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</si>
  <si>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</si>
  <si>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</si>
  <si>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</si>
  <si>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</si>
  <si>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</si>
  <si>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</si>
  <si>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</si>
  <si>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</si>
  <si>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</si>
  <si>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</si>
  <si>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</si>
  <si>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</si>
  <si>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</si>
  <si>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</si>
  <si>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</si>
  <si>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</si>
  <si>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</si>
  <si>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</si>
  <si>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</si>
  <si>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</si>
  <si>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</si>
  <si>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</si>
  <si>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</si>
  <si>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</si>
  <si>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</si>
  <si>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</si>
  <si>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</si>
  <si>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</si>
  <si>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</si>
  <si>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</si>
  <si>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</si>
  <si>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</si>
  <si>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</si>
  <si>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</si>
  <si>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</si>
  <si>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</si>
  <si>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</si>
  <si>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</si>
  <si>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</si>
  <si>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</si>
  <si>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</si>
  <si>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</si>
  <si>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</si>
  <si>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</si>
  <si>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</si>
  <si>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</si>
  <si>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</si>
  <si>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</si>
  <si>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</si>
  <si>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</si>
  <si>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</si>
  <si>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</si>
  <si>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</si>
  <si>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</si>
  <si>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</si>
  <si>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</si>
  <si>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</si>
  <si>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</si>
  <si>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</si>
  <si>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</si>
  <si>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</si>
  <si>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</si>
  <si>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</si>
  <si>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</si>
  <si>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</si>
  <si>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</si>
  <si>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</si>
  <si>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</si>
  <si>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</si>
  <si>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</si>
  <si>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</si>
  <si>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</si>
  <si>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</si>
  <si>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</si>
  <si>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</si>
  <si>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</si>
  <si>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</si>
  <si>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</si>
  <si>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</si>
  <si>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</si>
  <si>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</si>
  <si>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</si>
  <si>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</si>
  <si>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</si>
  <si>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</si>
  <si>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</si>
  <si>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</si>
  <si>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</si>
  <si>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</si>
  <si>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</si>
  <si>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</si>
  <si>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</si>
  <si>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</si>
  <si>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</si>
  <si>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</si>
  <si>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</si>
  <si>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</si>
  <si>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</si>
  <si>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</si>
  <si>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</si>
  <si>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</si>
  <si>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</si>
  <si>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</si>
  <si>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</si>
  <si>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</si>
  <si>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</si>
  <si>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</si>
  <si>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</si>
  <si>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</si>
  <si>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</si>
  <si>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</si>
  <si>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</si>
  <si>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</si>
  <si>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</si>
  <si>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</si>
  <si>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</si>
  <si>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</si>
  <si>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</si>
  <si>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</si>
  <si>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</si>
  <si>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</si>
  <si>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</si>
  <si>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</si>
  <si>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</si>
  <si>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</si>
  <si>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</si>
  <si>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</si>
  <si>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</si>
  <si>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</si>
  <si>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</si>
  <si>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</si>
  <si>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</si>
  <si>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</si>
  <si>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</si>
  <si>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</si>
  <si>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</si>
  <si>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</si>
  <si>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</si>
  <si>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</si>
  <si>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</si>
  <si>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</si>
  <si>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</si>
  <si>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</si>
  <si>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</si>
  <si>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</si>
  <si>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</si>
  <si>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</si>
  <si>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</si>
  <si>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</si>
  <si>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</si>
  <si>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</si>
  <si>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</si>
  <si>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</si>
  <si>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</si>
  <si>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</si>
  <si>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</si>
  <si>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</si>
  <si>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</si>
  <si>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</si>
  <si>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</si>
  <si>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</si>
  <si>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</si>
  <si>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</si>
  <si>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</si>
  <si>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</si>
  <si>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</si>
  <si>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</si>
  <si>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</si>
  <si>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</si>
  <si>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</si>
  <si>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</si>
  <si>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</si>
  <si>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</si>
  <si>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</si>
  <si>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</si>
  <si>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</si>
  <si>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</si>
  <si>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</si>
  <si>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</si>
  <si>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</si>
  <si>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</si>
  <si>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</si>
  <si>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</si>
  <si>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</si>
  <si>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</si>
  <si>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</si>
  <si>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</si>
  <si>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</si>
  <si>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</si>
  <si>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</si>
  <si>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</si>
  <si>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</si>
  <si>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</si>
  <si>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</si>
  <si>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</si>
  <si>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</si>
  <si>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</si>
  <si>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</si>
  <si>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</si>
  <si>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</si>
  <si>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</si>
  <si>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</si>
  <si>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</si>
  <si>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</si>
  <si>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</si>
  <si>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</si>
  <si>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</si>
  <si>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</si>
  <si>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</si>
  <si>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</si>
  <si>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</si>
  <si>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</si>
  <si>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</si>
  <si>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</si>
  <si>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</si>
  <si>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</si>
  <si>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</si>
  <si>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</si>
  <si>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</si>
  <si>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</si>
  <si>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</si>
  <si>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</si>
  <si>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</si>
  <si>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</si>
  <si>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</si>
  <si>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</si>
  <si>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</si>
  <si>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</si>
  <si>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</si>
  <si>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</si>
  <si>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</si>
  <si>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</si>
  <si>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</si>
  <si>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</si>
  <si>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</si>
  <si>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</si>
  <si>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</si>
  <si>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</si>
  <si>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</si>
  <si>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</si>
  <si>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</si>
  <si>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</si>
  <si>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</si>
  <si>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</si>
  <si>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</si>
  <si>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</si>
  <si>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</si>
  <si>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</si>
  <si>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</si>
  <si>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</si>
  <si>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</si>
  <si>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</si>
  <si>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</si>
  <si>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</si>
  <si>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</si>
  <si>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</si>
  <si>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</si>
  <si>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</si>
  <si>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</si>
  <si>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</si>
  <si>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</si>
  <si>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</si>
  <si>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</si>
  <si>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</si>
  <si>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</si>
  <si>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</si>
  <si>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</si>
  <si>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</si>
  <si>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</si>
  <si>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</si>
  <si>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</si>
  <si>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</si>
  <si>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</si>
  <si>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</si>
  <si>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</si>
  <si>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</si>
  <si>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</si>
  <si>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</si>
  <si>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</si>
  <si>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</si>
  <si>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</si>
  <si>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</si>
  <si>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</si>
  <si>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</si>
  <si>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</si>
  <si>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</si>
  <si>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</si>
  <si>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</si>
  <si>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</si>
  <si>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</si>
  <si>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</si>
  <si>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</si>
  <si>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</si>
  <si>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</si>
  <si>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</si>
  <si>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</si>
  <si>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</si>
  <si>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</si>
  <si>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</si>
  <si>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</si>
  <si>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</si>
  <si>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</si>
  <si>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</si>
  <si>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</si>
  <si>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</si>
  <si>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</si>
  <si>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</si>
  <si>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</si>
  <si>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</si>
  <si>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</si>
  <si>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</si>
  <si>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</si>
  <si>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</si>
  <si>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</si>
  <si>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</si>
  <si>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</si>
  <si>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</si>
  <si>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</si>
  <si>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</si>
  <si>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</si>
  <si>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</si>
  <si>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KELHEIM GmbH &amp; Co KG</t>
  </si>
  <si>
    <t>9870046200000</t>
  </si>
  <si>
    <t>Hallstattstraße 15</t>
  </si>
  <si>
    <t>Kelheim</t>
  </si>
  <si>
    <t>Dietmar Kraus</t>
  </si>
  <si>
    <t>09441/5032-211</t>
  </si>
  <si>
    <t>kraus@stadtwerke-kelheim.de</t>
  </si>
  <si>
    <t>NGB Stadtwerke Kelheim GmbH NCG H-Gas</t>
  </si>
  <si>
    <t>DE_GBA03</t>
  </si>
  <si>
    <t>DE_GBD03</t>
  </si>
  <si>
    <t>DE_GBH03</t>
  </si>
  <si>
    <t>DE_GGA03</t>
  </si>
  <si>
    <t>DE_GHA03</t>
  </si>
  <si>
    <t>DE_GHD03</t>
  </si>
  <si>
    <t>DE_GKO03</t>
  </si>
  <si>
    <t>DE_GMK03</t>
  </si>
  <si>
    <t>DE_GWA03</t>
  </si>
  <si>
    <t>NCHN007004620000</t>
  </si>
  <si>
    <t>MeteoGroup Deutschland GmbH</t>
  </si>
  <si>
    <t>Kehlheim - 107760 Regensburg</t>
  </si>
  <si>
    <t>Regensburg</t>
  </si>
  <si>
    <t>DE_HKO03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</si>
</sst>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337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27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4" sqref="D4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49.1093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654</v>
      </c>
      <c r="D4" s="27">
        <v>42221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653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487</v>
      </c>
      <c r="D11" s="339" t="s">
        <v>656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93309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461</v>
      </c>
      <c r="D27" s="42" t="s">
        <v>395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NGB Stadtwerke Kelheim GmbH NCG H-Gas</v>
      </c>
      <c r="E28" s="38"/>
      <c r="F28" s="11"/>
      <c r="G28" s="2"/>
    </row>
    <row r="29" spans="1:15">
      <c r="B29" s="15"/>
      <c r="C29" s="22" t="s">
        <v>395</v>
      </c>
      <c r="D29" s="45" t="s">
        <v>662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35" sqref="D35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7.55468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268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STADTWERKE KELHEIM GmbH &amp; Co KG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NGB Stadtwerke Kelheim GmbH NCG H-Gas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8" t="str">
        <f>Netzbetreiber!$D$11</f>
        <v>9870046200000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1" t="s">
        <v>255</v>
      </c>
      <c r="I11" s="271" t="s">
        <v>258</v>
      </c>
      <c r="J11" s="271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615</v>
      </c>
      <c r="D13" s="33" t="s">
        <v>616</v>
      </c>
      <c r="E13" s="15"/>
      <c r="H13" s="271" t="s">
        <v>616</v>
      </c>
      <c r="I13" s="271" t="s">
        <v>617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432</v>
      </c>
      <c r="D15" s="41" t="s">
        <v>672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430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69" t="s">
        <v>256</v>
      </c>
      <c r="I18" s="269" t="s">
        <v>134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575</v>
      </c>
      <c r="I19" s="270" t="s">
        <v>490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491</v>
      </c>
      <c r="I20" s="270" t="s">
        <v>492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84</v>
      </c>
      <c r="C22" s="8" t="s">
        <v>613</v>
      </c>
      <c r="D22" s="49" t="s">
        <v>609</v>
      </c>
      <c r="E22" s="15"/>
      <c r="H22" s="267" t="s">
        <v>609</v>
      </c>
      <c r="I22" s="267" t="s">
        <v>610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611</v>
      </c>
      <c r="E23" s="15"/>
      <c r="H23" s="267" t="s">
        <v>612</v>
      </c>
      <c r="I23" s="8" t="s">
        <v>608</v>
      </c>
      <c r="J23" s="8"/>
      <c r="K23" s="8"/>
      <c r="L23" s="268"/>
    </row>
    <row r="24" spans="2:16" ht="15" customHeight="1">
      <c r="B24" s="22"/>
      <c r="C24" s="24" t="s">
        <v>614</v>
      </c>
      <c r="D24" s="24" t="str">
        <f>IF(D22=$H$22,L24,IF(D23=$H$24,M24,N24))</f>
        <v>=&gt;  Q(D) = KW  x  h(T, SLP-Typ)  x  F(WT)</v>
      </c>
      <c r="E24" s="15"/>
      <c r="H24" s="267" t="s">
        <v>611</v>
      </c>
      <c r="I24" s="267" t="s">
        <v>618</v>
      </c>
      <c r="J24" s="8"/>
      <c r="K24" s="8"/>
      <c r="L24" s="270" t="s">
        <v>619</v>
      </c>
      <c r="M24" s="270" t="s">
        <v>621</v>
      </c>
      <c r="N24" s="270" t="s">
        <v>620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578</v>
      </c>
      <c r="D26" s="42" t="s">
        <v>135</v>
      </c>
      <c r="E26" s="15"/>
      <c r="H26" s="269" t="s">
        <v>133</v>
      </c>
      <c r="I26" s="269" t="s">
        <v>135</v>
      </c>
      <c r="J26" s="267"/>
      <c r="K26" s="267"/>
      <c r="L26" s="268"/>
    </row>
    <row r="27" spans="2:16" ht="15" customHeight="1">
      <c r="B27" s="7"/>
      <c r="C27" s="6" t="s">
        <v>622</v>
      </c>
      <c r="D27" s="42" t="s">
        <v>623</v>
      </c>
      <c r="E27" s="15"/>
      <c r="H27" s="297" t="s">
        <v>623</v>
      </c>
      <c r="I27" s="269" t="s">
        <v>624</v>
      </c>
      <c r="J27" s="269" t="s">
        <v>625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626</v>
      </c>
      <c r="I28" s="270" t="s">
        <v>627</v>
      </c>
      <c r="J28" s="270" t="s">
        <v>628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629</v>
      </c>
      <c r="I29" s="270" t="s">
        <v>630</v>
      </c>
      <c r="J29" s="270" t="s">
        <v>631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495</v>
      </c>
      <c r="C31" s="6" t="s">
        <v>577</v>
      </c>
      <c r="D31" s="42" t="s">
        <v>135</v>
      </c>
      <c r="E31" s="15"/>
      <c r="H31" s="269" t="s">
        <v>133</v>
      </c>
      <c r="I31" s="269" t="s">
        <v>135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632</v>
      </c>
      <c r="I32" s="270" t="s">
        <v>633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634</v>
      </c>
      <c r="I33" s="267" t="s">
        <v>629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549</v>
      </c>
      <c r="C35" s="24" t="s">
        <v>497</v>
      </c>
      <c r="D35" s="42">
        <v>12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550</v>
      </c>
      <c r="C37" s="5" t="s">
        <v>365</v>
      </c>
      <c r="D37" s="34">
        <v>1500000</v>
      </c>
      <c r="E37" s="15" t="s">
        <v>508</v>
      </c>
      <c r="I37" s="267"/>
      <c r="J37" s="267"/>
      <c r="K37" s="267"/>
      <c r="L37" s="267"/>
      <c r="M37" s="268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551</v>
      </c>
      <c r="C40" s="5" t="s">
        <v>366</v>
      </c>
      <c r="D40" s="36">
        <v>500</v>
      </c>
      <c r="E40" s="15" t="s">
        <v>541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540</v>
      </c>
    </row>
    <row r="44" spans="2:39" ht="18" customHeight="1">
      <c r="C44" s="3" t="s">
        <v>542</v>
      </c>
    </row>
    <row r="45" spans="2:39" ht="18" customHeight="1">
      <c r="C45" s="3"/>
    </row>
    <row r="46" spans="2:39" ht="15" customHeight="1">
      <c r="B46" s="22" t="s">
        <v>552</v>
      </c>
      <c r="C46" s="60" t="s">
        <v>576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586</v>
      </c>
      <c r="D48" s="45" t="s">
        <v>674</v>
      </c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  <row r="60" spans="3:4" ht="18" customHeight="1">
      <c r="C60" s="22" t="s">
        <v>598</v>
      </c>
      <c r="D60" s="45"/>
    </row>
    <row r="61" spans="3:4" ht="18" customHeight="1">
      <c r="C61" s="22" t="s">
        <v>599</v>
      </c>
      <c r="D61" s="45"/>
    </row>
    <row r="62" spans="3:4" ht="18" customHeight="1">
      <c r="C62" s="22" t="s">
        <v>600</v>
      </c>
      <c r="D62" s="45"/>
    </row>
  </sheetData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zoomScale="70" zoomScaleNormal="70" workbookViewId="0">
      <selection activeCell="E7" sqref="E7"/>
    </sheetView>
  </sheetViews>
  <sheetFormatPr baseColWidth="10" defaultColWidth="0" defaultRowHeight="14.4" zeroHeight="1"/>
  <cols>
    <col min="1" max="1" width="2.88671875" style="128" customWidth="1"/>
    <col min="2" max="2" width="5.44140625" style="128" customWidth="1"/>
    <col min="3" max="3" width="37.5546875" style="128" customWidth="1"/>
    <col min="4" max="4" width="12.5546875" style="128" customWidth="1"/>
    <col min="5" max="14" width="12.6640625" style="128" customWidth="1"/>
    <col min="15" max="15" width="34.109375" style="128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0" t="s">
        <v>544</v>
      </c>
    </row>
    <row r="3" spans="2:56" ht="15" customHeight="1">
      <c r="B3" s="170"/>
    </row>
    <row r="4" spans="2:56">
      <c r="B4" s="130"/>
      <c r="C4" s="56" t="s">
        <v>447</v>
      </c>
      <c r="D4" s="57"/>
      <c r="E4" s="330" t="str">
        <f>Netzbetreiber!D9</f>
        <v>STADTWERKE KELHEIM GmbH &amp; Co KG</v>
      </c>
      <c r="F4" s="330"/>
      <c r="G4" s="330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NGB Stadtwerke Kelheim GmbH NCG H-Gas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29" t="str">
        <f>Netzbetreiber!D11</f>
        <v>9870046200000</v>
      </c>
      <c r="F6" s="329"/>
      <c r="G6" s="329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v>43466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523</v>
      </c>
      <c r="D9" s="130"/>
      <c r="E9" s="130"/>
      <c r="F9" s="154">
        <f>'SLP-Verfahren'!D46</f>
        <v>1</v>
      </c>
      <c r="H9" s="171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585</v>
      </c>
      <c r="D10" s="130"/>
      <c r="E10" s="130"/>
      <c r="F10" s="49">
        <v>1</v>
      </c>
      <c r="G10" s="57"/>
      <c r="H10" s="171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603</v>
      </c>
      <c r="D11" s="130"/>
      <c r="E11" s="130"/>
      <c r="F11" s="332" t="str">
        <f>INDEX('SLP-Verfahren'!D48:D62,'SLP-Temp-Gebiet #01'!F10)</f>
        <v>Kehlheim - 107760 Regensburg</v>
      </c>
      <c r="G11" s="332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584</v>
      </c>
      <c r="D13" s="343"/>
      <c r="E13" s="343"/>
      <c r="F13" s="181" t="s">
        <v>548</v>
      </c>
      <c r="G13" s="130" t="s">
        <v>546</v>
      </c>
      <c r="H13" s="261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450</v>
      </c>
      <c r="D14" s="344"/>
      <c r="E14" s="89" t="s">
        <v>451</v>
      </c>
      <c r="F14" s="262" t="s">
        <v>70</v>
      </c>
      <c r="G14" s="263" t="s">
        <v>572</v>
      </c>
      <c r="H14" s="51">
        <v>-0.9</v>
      </c>
      <c r="I14" s="57"/>
      <c r="J14" s="130"/>
      <c r="K14" s="130"/>
      <c r="L14" s="130"/>
      <c r="M14" s="130"/>
      <c r="N14" s="130"/>
      <c r="O14" s="331" t="s">
        <v>651</v>
      </c>
      <c r="R14" s="207" t="s">
        <v>564</v>
      </c>
      <c r="S14" s="207" t="s">
        <v>565</v>
      </c>
      <c r="T14" s="207" t="s">
        <v>566</v>
      </c>
      <c r="U14" s="207" t="s">
        <v>567</v>
      </c>
      <c r="V14" s="207" t="s">
        <v>547</v>
      </c>
      <c r="W14" s="207" t="s">
        <v>568</v>
      </c>
      <c r="X14" s="207" t="s">
        <v>569</v>
      </c>
      <c r="Y14" s="207" t="s">
        <v>570</v>
      </c>
      <c r="Z14" s="207" t="s">
        <v>571</v>
      </c>
      <c r="AA14" s="207" t="s">
        <v>572</v>
      </c>
      <c r="AB14" s="207" t="s">
        <v>573</v>
      </c>
      <c r="AC14" s="207" t="s">
        <v>574</v>
      </c>
    </row>
    <row r="15" spans="2:56" ht="19.5" customHeight="1">
      <c r="B15" s="130"/>
      <c r="C15" s="344" t="s">
        <v>387</v>
      </c>
      <c r="D15" s="344"/>
      <c r="E15" s="89" t="s">
        <v>451</v>
      </c>
      <c r="F15" s="262" t="s">
        <v>70</v>
      </c>
      <c r="G15" s="263" t="s">
        <v>567</v>
      </c>
      <c r="H15" s="51">
        <v>-0.9</v>
      </c>
      <c r="I15" s="57"/>
      <c r="J15" s="130"/>
      <c r="K15" s="130"/>
      <c r="L15" s="130"/>
      <c r="M15" s="130"/>
      <c r="N15" s="130"/>
      <c r="O15" s="161" t="s">
        <v>673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370</v>
      </c>
      <c r="AH15" s="260" t="s">
        <v>495</v>
      </c>
      <c r="AI15" s="260" t="s">
        <v>549</v>
      </c>
      <c r="AJ15" s="260" t="s">
        <v>550</v>
      </c>
      <c r="AK15" s="260" t="s">
        <v>551</v>
      </c>
      <c r="AL15" s="260" t="s">
        <v>552</v>
      </c>
      <c r="AM15" s="260" t="s">
        <v>553</v>
      </c>
      <c r="AN15" s="260" t="s">
        <v>554</v>
      </c>
      <c r="AO15" s="260" t="s">
        <v>555</v>
      </c>
      <c r="AP15" s="260" t="s">
        <v>556</v>
      </c>
      <c r="AQ15" s="260" t="s">
        <v>557</v>
      </c>
      <c r="AR15" s="260" t="s">
        <v>558</v>
      </c>
      <c r="AS15" s="260" t="s">
        <v>559</v>
      </c>
      <c r="AT15" s="260" t="s">
        <v>560</v>
      </c>
      <c r="AU15" s="260" t="s">
        <v>561</v>
      </c>
      <c r="AV15" s="260" t="s">
        <v>562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173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518</v>
      </c>
      <c r="C17" s="175"/>
      <c r="D17" s="17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524</v>
      </c>
      <c r="D18" s="130"/>
      <c r="E18" s="130"/>
      <c r="F18" s="49">
        <v>1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519</v>
      </c>
      <c r="D20" s="178" t="s">
        <v>515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526</v>
      </c>
      <c r="D21" s="153" t="s">
        <v>517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537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6" t="s">
        <v>673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3" t="s">
        <v>141</v>
      </c>
      <c r="Q23" s="209"/>
      <c r="R23" s="67" t="s">
        <v>138</v>
      </c>
      <c r="S23" s="67" t="s">
        <v>504</v>
      </c>
      <c r="T23" s="288" t="str">
        <f>O15</f>
        <v>MeteoGroup Deutschland GmbH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521</v>
      </c>
      <c r="D24" s="186"/>
      <c r="E24" s="342" t="s">
        <v>675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3" t="s">
        <v>522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516</v>
      </c>
      <c r="D25" s="186"/>
      <c r="E25" s="160">
        <v>107760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3" t="s">
        <v>141</v>
      </c>
      <c r="Q26" s="209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520</v>
      </c>
      <c r="D28" s="130"/>
      <c r="E28" s="130"/>
      <c r="F28" s="49">
        <v>4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527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533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3" t="s">
        <v>141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453</v>
      </c>
      <c r="D34" s="153" t="s">
        <v>452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3" t="s">
        <v>141</v>
      </c>
      <c r="Q34" s="209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3" t="s">
        <v>141</v>
      </c>
      <c r="Q35" s="209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445</v>
      </c>
      <c r="D36" s="119" t="s">
        <v>538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3" t="s">
        <v>141</v>
      </c>
      <c r="Q36" s="209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6">
      <c r="B39" s="191"/>
      <c r="C39" s="195" t="s">
        <v>349</v>
      </c>
      <c r="D39" s="196"/>
      <c r="E39" s="196" t="s">
        <v>531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532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525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529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530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535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536</v>
      </c>
      <c r="D46" s="199" t="s">
        <v>534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534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4" t="s">
        <v>579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543</v>
      </c>
      <c r="D52" s="130"/>
      <c r="E52" s="130"/>
      <c r="F52" s="157">
        <f>F18</f>
        <v>1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519</v>
      </c>
      <c r="D54" s="178" t="s">
        <v>515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526</v>
      </c>
      <c r="D55" s="153" t="s">
        <v>517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537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6" t="str">
        <f>E23</f>
        <v>MeteoGroup Deutschland GmbH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521</v>
      </c>
      <c r="D58" s="186"/>
      <c r="E58" s="156" t="str">
        <f>E24</f>
        <v>Regensburg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3" t="s">
        <v>522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516</v>
      </c>
      <c r="D59" s="186"/>
      <c r="E59" s="160">
        <f>E25</f>
        <v>107760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30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527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533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144</v>
      </c>
    </row>
    <row r="67" spans="2:15">
      <c r="B67" s="181"/>
      <c r="C67" s="185" t="s">
        <v>361</v>
      </c>
      <c r="D67" s="153" t="s">
        <v>360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3" t="s">
        <v>141</v>
      </c>
    </row>
    <row r="68" spans="2:15">
      <c r="B68" s="181"/>
      <c r="C68" s="185" t="s">
        <v>453</v>
      </c>
      <c r="D68" s="153" t="s">
        <v>452</v>
      </c>
      <c r="E68" s="159" t="str">
        <f>E34</f>
        <v>Kalendertag</v>
      </c>
      <c r="F68" s="159" t="str">
        <f t="shared" ref="F68:N68" si="15">F34</f>
        <v>Kalendertag</v>
      </c>
      <c r="G68" s="159" t="str">
        <f t="shared" si="15"/>
        <v>Kalendertag</v>
      </c>
      <c r="H68" s="159" t="str">
        <f t="shared" si="15"/>
        <v>Kalendertag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3" t="s">
        <v>141</v>
      </c>
    </row>
    <row r="69" spans="2:15">
      <c r="B69" s="181"/>
      <c r="C69" s="185" t="s">
        <v>605</v>
      </c>
      <c r="D69" s="153" t="s">
        <v>606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3" t="s">
        <v>141</v>
      </c>
    </row>
    <row r="70" spans="2:15">
      <c r="B70" s="181"/>
      <c r="C70" s="190" t="s">
        <v>445</v>
      </c>
      <c r="D70" s="119" t="s">
        <v>538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3" t="s">
        <v>141</v>
      </c>
    </row>
    <row r="71" spans="2:15"/>
    <row r="72" spans="2:15" ht="15.75" customHeight="1">
      <c r="C72" s="345" t="s">
        <v>580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F25:N25 I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8671875" style="128" customWidth="1"/>
    <col min="2" max="2" width="5.44140625" style="128" customWidth="1"/>
    <col min="3" max="3" width="37.5546875" style="128" customWidth="1"/>
    <col min="4" max="4" width="12.5546875" style="128" customWidth="1"/>
    <col min="5" max="14" width="12.6640625" style="128" customWidth="1"/>
    <col min="15" max="15" width="34.109375" style="128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0" t="s">
        <v>544</v>
      </c>
    </row>
    <row r="3" spans="2:56" ht="15" customHeight="1">
      <c r="B3" s="170"/>
    </row>
    <row r="4" spans="2:56" ht="14.4">
      <c r="B4" s="130"/>
      <c r="C4" s="56" t="s">
        <v>447</v>
      </c>
      <c r="D4" s="57"/>
      <c r="E4" s="330" t="str">
        <f>Netzbetreiber!$D$9</f>
        <v>STADTWERKE KELHEIM GmbH &amp; Co KG</v>
      </c>
      <c r="F4" s="130"/>
      <c r="M4" s="130"/>
      <c r="N4" s="130"/>
      <c r="O4" s="130"/>
    </row>
    <row r="5" spans="2:56" ht="14.4">
      <c r="B5" s="130"/>
      <c r="C5" s="56" t="s">
        <v>446</v>
      </c>
      <c r="D5" s="57"/>
      <c r="E5" s="58" t="str">
        <f>Netzbetreiber!$D$28</f>
        <v>NGB Stadtwerke Kelheim GmbH NCG H-Gas</v>
      </c>
      <c r="F5" s="130"/>
      <c r="G5" s="130"/>
      <c r="H5" s="130"/>
      <c r="M5" s="130"/>
      <c r="N5" s="130"/>
      <c r="O5" s="130"/>
    </row>
    <row r="6" spans="2:56" ht="14.4">
      <c r="B6" s="130"/>
      <c r="C6" s="60" t="s">
        <v>489</v>
      </c>
      <c r="D6" s="57"/>
      <c r="E6" s="329" t="str">
        <f>Netzbetreiber!$D$11</f>
        <v>9870046200000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4">
      <c r="B7" s="130"/>
      <c r="C7" s="56" t="s">
        <v>132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 ht="14.4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 ht="14.4">
      <c r="B9" s="130"/>
      <c r="C9" s="60" t="s">
        <v>523</v>
      </c>
      <c r="D9" s="130"/>
      <c r="E9" s="130"/>
      <c r="F9" s="154">
        <f>'SLP-Verfahren'!D46</f>
        <v>1</v>
      </c>
      <c r="H9" s="171" t="s">
        <v>601</v>
      </c>
      <c r="J9" s="130"/>
      <c r="K9" s="130"/>
      <c r="L9" s="130"/>
      <c r="M9" s="130"/>
      <c r="N9" s="130"/>
      <c r="O9" s="130"/>
    </row>
    <row r="10" spans="2:56" ht="14.4">
      <c r="B10" s="130"/>
      <c r="C10" s="56" t="s">
        <v>585</v>
      </c>
      <c r="D10" s="130"/>
      <c r="E10" s="130"/>
      <c r="F10" s="49">
        <v>2</v>
      </c>
      <c r="G10" s="57"/>
      <c r="H10" s="171" t="s">
        <v>602</v>
      </c>
      <c r="J10" s="130"/>
      <c r="K10" s="130"/>
      <c r="L10" s="130"/>
      <c r="M10" s="130"/>
      <c r="N10" s="130"/>
      <c r="O10" s="130"/>
    </row>
    <row r="11" spans="2:56" ht="14.4">
      <c r="B11" s="130"/>
      <c r="C11" s="56" t="s">
        <v>603</v>
      </c>
      <c r="D11" s="130"/>
      <c r="E11" s="130"/>
      <c r="F11" s="332">
        <f>INDEX('SLP-Verfahren'!D48:D62,'SLP-Temp-Gebiet #02'!F10)</f>
        <v>0</v>
      </c>
      <c r="G11" s="332"/>
      <c r="H11" s="289"/>
      <c r="J11" s="130"/>
      <c r="K11" s="130"/>
      <c r="L11" s="130"/>
      <c r="M11" s="130"/>
      <c r="N11" s="130"/>
      <c r="O11" s="130"/>
    </row>
    <row r="12" spans="2:56" ht="14.4"/>
    <row r="13" spans="2:56" ht="18" customHeight="1">
      <c r="B13" s="130"/>
      <c r="C13" s="343" t="s">
        <v>584</v>
      </c>
      <c r="D13" s="343"/>
      <c r="E13" s="343"/>
      <c r="F13" s="181" t="s">
        <v>548</v>
      </c>
      <c r="G13" s="130" t="s">
        <v>546</v>
      </c>
      <c r="H13" s="261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450</v>
      </c>
      <c r="D14" s="344"/>
      <c r="E14" s="89" t="s">
        <v>451</v>
      </c>
      <c r="F14" s="262" t="s">
        <v>84</v>
      </c>
      <c r="G14" s="263" t="s">
        <v>572</v>
      </c>
      <c r="H14" s="51">
        <v>0</v>
      </c>
      <c r="I14" s="57"/>
      <c r="J14" s="130"/>
      <c r="K14" s="130"/>
      <c r="L14" s="130"/>
      <c r="M14" s="130"/>
      <c r="N14" s="130"/>
      <c r="O14" s="331" t="s">
        <v>651</v>
      </c>
      <c r="R14" s="207" t="s">
        <v>564</v>
      </c>
      <c r="S14" s="207" t="s">
        <v>565</v>
      </c>
      <c r="T14" s="207" t="s">
        <v>566</v>
      </c>
      <c r="U14" s="207" t="s">
        <v>567</v>
      </c>
      <c r="V14" s="207" t="s">
        <v>547</v>
      </c>
      <c r="W14" s="207" t="s">
        <v>568</v>
      </c>
      <c r="X14" s="207" t="s">
        <v>569</v>
      </c>
      <c r="Y14" s="207" t="s">
        <v>570</v>
      </c>
      <c r="Z14" s="207" t="s">
        <v>571</v>
      </c>
      <c r="AA14" s="207" t="s">
        <v>572</v>
      </c>
      <c r="AB14" s="207" t="s">
        <v>573</v>
      </c>
      <c r="AC14" s="207" t="s">
        <v>574</v>
      </c>
    </row>
    <row r="15" spans="2:56" ht="19.5" customHeight="1">
      <c r="B15" s="130"/>
      <c r="C15" s="344" t="s">
        <v>387</v>
      </c>
      <c r="D15" s="344"/>
      <c r="E15" s="89" t="s">
        <v>451</v>
      </c>
      <c r="F15" s="262" t="s">
        <v>70</v>
      </c>
      <c r="G15" s="263" t="s">
        <v>566</v>
      </c>
      <c r="H15" s="51">
        <v>0</v>
      </c>
      <c r="I15" s="57"/>
      <c r="J15" s="130"/>
      <c r="K15" s="130"/>
      <c r="L15" s="130"/>
      <c r="M15" s="130"/>
      <c r="N15" s="130"/>
      <c r="O15" s="161" t="s">
        <v>528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370</v>
      </c>
      <c r="AH15" s="260" t="s">
        <v>495</v>
      </c>
      <c r="AI15" s="260" t="s">
        <v>549</v>
      </c>
      <c r="AJ15" s="260" t="s">
        <v>550</v>
      </c>
      <c r="AK15" s="260" t="s">
        <v>551</v>
      </c>
      <c r="AL15" s="260" t="s">
        <v>552</v>
      </c>
      <c r="AM15" s="260" t="s">
        <v>553</v>
      </c>
      <c r="AN15" s="260" t="s">
        <v>554</v>
      </c>
      <c r="AO15" s="260" t="s">
        <v>555</v>
      </c>
      <c r="AP15" s="260" t="s">
        <v>556</v>
      </c>
      <c r="AQ15" s="260" t="s">
        <v>557</v>
      </c>
      <c r="AR15" s="260" t="s">
        <v>558</v>
      </c>
      <c r="AS15" s="260" t="s">
        <v>559</v>
      </c>
      <c r="AT15" s="260" t="s">
        <v>560</v>
      </c>
      <c r="AU15" s="260" t="s">
        <v>561</v>
      </c>
      <c r="AV15" s="260" t="s">
        <v>562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290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518</v>
      </c>
      <c r="C17" s="175"/>
      <c r="D17" s="29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 ht="14.4">
      <c r="B18" s="130"/>
      <c r="C18" s="56" t="s">
        <v>524</v>
      </c>
      <c r="D18" s="130"/>
      <c r="E18" s="130"/>
      <c r="F18" s="49">
        <v>2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519</v>
      </c>
      <c r="D20" s="178" t="s">
        <v>515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4">
      <c r="B21" s="181"/>
      <c r="C21" s="182" t="s">
        <v>526</v>
      </c>
      <c r="D21" s="153" t="s">
        <v>517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4">
      <c r="B22" s="181"/>
      <c r="C22" s="182" t="s">
        <v>537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4">
      <c r="B23" s="181"/>
      <c r="C23" s="185" t="s">
        <v>136</v>
      </c>
      <c r="D23" s="186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3" t="s">
        <v>141</v>
      </c>
      <c r="Q23" s="209"/>
      <c r="R23" s="67" t="s">
        <v>138</v>
      </c>
      <c r="S23" s="67" t="s">
        <v>504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4">
      <c r="B24" s="181"/>
      <c r="C24" s="185" t="s">
        <v>521</v>
      </c>
      <c r="D24" s="186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3" t="s">
        <v>522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4">
      <c r="B25" s="181"/>
      <c r="C25" s="185" t="s">
        <v>516</v>
      </c>
      <c r="D25" s="186"/>
      <c r="E25" s="160" t="s">
        <v>363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4">
      <c r="B26" s="181"/>
      <c r="C26" s="185" t="s">
        <v>140</v>
      </c>
      <c r="D26" s="186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3" t="s">
        <v>141</v>
      </c>
      <c r="Q26" s="209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4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4">
      <c r="B28" s="130"/>
      <c r="C28" s="56" t="s">
        <v>520</v>
      </c>
      <c r="D28" s="130"/>
      <c r="E28" s="130"/>
      <c r="F28" s="49">
        <v>4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4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4">
      <c r="B31" s="181"/>
      <c r="C31" s="182" t="s">
        <v>527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4">
      <c r="B32" s="181"/>
      <c r="C32" s="182" t="s">
        <v>533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4">
      <c r="B33" s="181"/>
      <c r="C33" s="185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3" t="s">
        <v>141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 ht="14.4">
      <c r="B34" s="181"/>
      <c r="C34" s="185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3" t="s">
        <v>141</v>
      </c>
      <c r="Q34" s="209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4">
      <c r="B35" s="181"/>
      <c r="C35" s="185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3" t="s">
        <v>141</v>
      </c>
      <c r="Q35" s="209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4">
      <c r="B36" s="181"/>
      <c r="C36" s="190" t="s">
        <v>445</v>
      </c>
      <c r="D36" s="119" t="s">
        <v>538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3" t="s">
        <v>141</v>
      </c>
      <c r="Q36" s="209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4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6">
      <c r="B39" s="191"/>
      <c r="C39" s="195" t="s">
        <v>349</v>
      </c>
      <c r="D39" s="196"/>
      <c r="E39" s="196" t="s">
        <v>531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4.4">
      <c r="B40" s="191"/>
      <c r="C40" s="195"/>
      <c r="D40" s="196"/>
      <c r="E40" s="196" t="s">
        <v>532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 ht="14.4">
      <c r="B41" s="191"/>
      <c r="C41" s="195"/>
      <c r="D41" s="196"/>
      <c r="E41" s="196" t="s">
        <v>525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 ht="14.4">
      <c r="B42" s="191"/>
      <c r="C42" s="198"/>
      <c r="D42" s="196"/>
      <c r="E42" s="196" t="s">
        <v>529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 ht="14.4">
      <c r="B43" s="191"/>
      <c r="C43" s="198"/>
      <c r="D43" s="196"/>
      <c r="E43" s="196" t="s">
        <v>530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 ht="14.4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 ht="14.4">
      <c r="B45" s="191"/>
      <c r="C45" s="195" t="s">
        <v>535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 ht="14.4">
      <c r="B46" s="191"/>
      <c r="C46" s="198" t="s">
        <v>536</v>
      </c>
      <c r="D46" s="199" t="s">
        <v>534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 ht="14.4">
      <c r="B47" s="191"/>
      <c r="C47" s="198" t="s">
        <v>348</v>
      </c>
      <c r="D47" s="199" t="s">
        <v>534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 ht="14.4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4" t="s">
        <v>579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4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 ht="14.4">
      <c r="B52" s="130"/>
      <c r="C52" s="56" t="s">
        <v>543</v>
      </c>
      <c r="D52" s="130"/>
      <c r="E52" s="130"/>
      <c r="F52" s="157">
        <f>F18</f>
        <v>2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519</v>
      </c>
      <c r="D54" s="178" t="s">
        <v>515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 ht="14.4">
      <c r="B55" s="181"/>
      <c r="C55" s="182" t="s">
        <v>526</v>
      </c>
      <c r="D55" s="153" t="s">
        <v>517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 ht="14.4">
      <c r="B56" s="181"/>
      <c r="C56" s="182" t="s">
        <v>537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 ht="14.4">
      <c r="B57" s="181"/>
      <c r="C57" s="185" t="s">
        <v>136</v>
      </c>
      <c r="D57" s="186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 ht="14.4">
      <c r="B58" s="181"/>
      <c r="C58" s="185" t="s">
        <v>521</v>
      </c>
      <c r="D58" s="186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522</v>
      </c>
      <c r="W58" s="67"/>
      <c r="X58" s="67"/>
      <c r="Y58" s="67"/>
      <c r="Z58" s="67"/>
      <c r="AA58" s="67"/>
      <c r="AB58" s="67"/>
    </row>
    <row r="59" spans="2:28" ht="14.4">
      <c r="B59" s="181"/>
      <c r="C59" s="185" t="s">
        <v>516</v>
      </c>
      <c r="D59" s="186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 ht="14.4">
      <c r="B60" s="181"/>
      <c r="C60" s="185" t="s">
        <v>140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 ht="14.4"/>
    <row r="62" spans="2:28" ht="14.4">
      <c r="C62" s="56" t="s">
        <v>520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 ht="14.4">
      <c r="B65" s="181"/>
      <c r="C65" s="182" t="s">
        <v>527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 ht="14.4">
      <c r="B66" s="181"/>
      <c r="C66" s="182" t="s">
        <v>533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 ht="14.4">
      <c r="B67" s="181"/>
      <c r="C67" s="185" t="s">
        <v>361</v>
      </c>
      <c r="D67" s="153" t="s">
        <v>360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141</v>
      </c>
    </row>
    <row r="68" spans="2:15" ht="14.4">
      <c r="B68" s="181"/>
      <c r="C68" s="185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141</v>
      </c>
    </row>
    <row r="69" spans="2:15" ht="14.4">
      <c r="B69" s="181"/>
      <c r="C69" s="185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141</v>
      </c>
    </row>
    <row r="70" spans="2:15" ht="14.4">
      <c r="B70" s="181"/>
      <c r="C70" s="190" t="s">
        <v>445</v>
      </c>
      <c r="D70" s="119" t="s">
        <v>538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141</v>
      </c>
    </row>
    <row r="71" spans="2:15" ht="14.4"/>
    <row r="72" spans="2:15" ht="15.75" customHeight="1">
      <c r="C72" s="345" t="s">
        <v>580</v>
      </c>
      <c r="D72" s="345"/>
      <c r="E72" s="345"/>
      <c r="F72" s="345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B10" sqref="B10"/>
    </sheetView>
  </sheetViews>
  <sheetFormatPr baseColWidth="10" defaultColWidth="0" defaultRowHeight="14.4" zeroHeight="1"/>
  <cols>
    <col min="1" max="1" width="2.88671875" style="128" customWidth="1"/>
    <col min="2" max="2" width="8" style="128" customWidth="1"/>
    <col min="3" max="3" width="43.88671875" style="128" customWidth="1"/>
    <col min="4" max="4" width="10.6640625" style="128" customWidth="1"/>
    <col min="5" max="6" width="11.44140625" style="128" customWidth="1"/>
    <col min="8" max="8" width="12.6640625" style="128" customWidth="1"/>
    <col min="9" max="9" width="15.44140625" style="128" customWidth="1"/>
    <col min="10" max="11" width="12.6640625" style="128" customWidth="1"/>
    <col min="12" max="12" width="11.44140625" style="128" customWidth="1"/>
    <col min="13" max="16" width="12.6640625" style="128" customWidth="1"/>
    <col min="17" max="17" width="14.109375" style="128" customWidth="1"/>
    <col min="18" max="24" width="11.44140625" style="128" customWidth="1"/>
    <col min="25" max="25" width="20.109375" style="128" customWidth="1"/>
    <col min="26" max="26" width="11.44140625" style="128" customWidth="1"/>
    <col min="27" max="16384" width="11.44140625" style="128" hidden="1"/>
  </cols>
  <sheetData>
    <row r="1" spans="2:26" ht="75" customHeight="1" thickBot="1"/>
    <row r="2" spans="2:26" ht="23.4">
      <c r="B2" s="129" t="s">
        <v>364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369</v>
      </c>
      <c r="D5" s="54" t="str">
        <f>Netzbetreiber!$D$9</f>
        <v>STADTWERKE KELHEIM GmbH &amp; Co KG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336</v>
      </c>
      <c r="D6" s="54" t="str">
        <f>Netzbetreiber!$D$28</f>
        <v>NGB Stadtwerke Kelheim GmbH NCG H-Gas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9870046200000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42278</v>
      </c>
      <c r="E8" s="130"/>
      <c r="F8" s="130"/>
      <c r="H8" s="128" t="s">
        <v>497</v>
      </c>
      <c r="J8" s="132">
        <f>COUNTA(D12:D100)</f>
        <v>12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8" thickBot="1">
      <c r="B10" s="134" t="s">
        <v>247</v>
      </c>
      <c r="C10" s="135" t="s">
        <v>496</v>
      </c>
      <c r="D10" s="134" t="s">
        <v>146</v>
      </c>
      <c r="E10" s="272" t="s">
        <v>512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294" t="s">
        <v>648</v>
      </c>
    </row>
    <row r="11" spans="2:26" ht="15" thickBot="1">
      <c r="B11" s="139" t="s">
        <v>498</v>
      </c>
      <c r="C11" s="140" t="s">
        <v>511</v>
      </c>
      <c r="D11" s="293" t="s">
        <v>246</v>
      </c>
      <c r="E11" s="340" t="s">
        <v>65</v>
      </c>
      <c r="F11" s="295" t="str">
        <f>VLOOKUP($E11,'BDEW-Standard'!$B$3:$M$158,F$9,0)</f>
        <v>G24</v>
      </c>
      <c r="H11" s="166">
        <f>ROUND(VLOOKUP($E11,'BDEW-Standard'!$B$3:$M$158,H$9,0),7)</f>
        <v>2.4859160999999999</v>
      </c>
      <c r="I11" s="166">
        <f>ROUND(VLOOKUP($E11,'BDEW-Standard'!$B$3:$M$158,I$9,0),7)</f>
        <v>-35.043597800000001</v>
      </c>
      <c r="J11" s="166">
        <f>ROUND(VLOOKUP($E11,'BDEW-Standard'!$B$3:$M$158,J$9,0),7)</f>
        <v>6.2818214000000001</v>
      </c>
      <c r="K11" s="166">
        <f>ROUND(VLOOKUP($E11,'BDEW-Standard'!$B$3:$M$158,K$9,0),7)</f>
        <v>0.1065396</v>
      </c>
      <c r="L11" s="334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5">
        <f>($H11/(1+($I11/($Q$9-$L11))^$J11)+$K11)+MAX($M11*$Q$9+$N11,$O11*$Q$9+$P11)</f>
        <v>1.0041152127680664</v>
      </c>
      <c r="R11" s="167">
        <f>ROUND(VLOOKUP(MID($E11,4,3),'Wochentag F(WT)'!$B$7:$J$22,R$9,0),4)</f>
        <v>1</v>
      </c>
      <c r="S11" s="167">
        <f>ROUND(VLOOKUP(MID($E11,4,3),'Wochentag F(WT)'!$B$7:$J$22,S$9,0),4)</f>
        <v>1</v>
      </c>
      <c r="T11" s="167">
        <f>ROUND(VLOOKUP(MID($E11,4,3),'Wochentag F(WT)'!$B$7:$J$22,T$9,0),4)</f>
        <v>1</v>
      </c>
      <c r="U11" s="167">
        <f>ROUND(VLOOKUP(MID($E11,4,3),'Wochentag F(WT)'!$B$7:$J$22,U$9,0),4)</f>
        <v>1</v>
      </c>
      <c r="V11" s="167">
        <f>ROUND(VLOOKUP(MID($E11,4,3),'Wochentag F(WT)'!$B$7:$J$22,V$9,0),4)</f>
        <v>1</v>
      </c>
      <c r="W11" s="167">
        <f>ROUND(VLOOKUP(MID($E11,4,3),'Wochentag F(WT)'!$B$7:$J$22,W$9,0),4)</f>
        <v>1</v>
      </c>
      <c r="X11" s="168">
        <f>7-SUM(R11:W11)</f>
        <v>1</v>
      </c>
      <c r="Y11" s="291">
        <v>365.12299999999999</v>
      </c>
    </row>
    <row r="12" spans="2:26">
      <c r="B12" s="141">
        <v>1</v>
      </c>
      <c r="C12" s="142" t="str">
        <f t="shared" ref="C12:C41" si="0">$D$6</f>
        <v>NGB Stadtwerke Kelheim GmbH NCG H-Gas</v>
      </c>
      <c r="D12" s="62" t="s">
        <v>246</v>
      </c>
      <c r="E12" s="165" t="s">
        <v>55</v>
      </c>
      <c r="F12" s="341" t="s">
        <v>322</v>
      </c>
      <c r="H12" s="273">
        <v>3.159294</v>
      </c>
      <c r="I12" s="273">
        <v>-37.406886</v>
      </c>
      <c r="J12" s="273">
        <v>6.1418926000000003</v>
      </c>
      <c r="K12" s="273">
        <v>7.6563300000000001E-2</v>
      </c>
      <c r="L12" s="336">
        <v>40</v>
      </c>
      <c r="M12" s="273">
        <v>0</v>
      </c>
      <c r="N12" s="273">
        <v>0</v>
      </c>
      <c r="O12" s="273">
        <v>0</v>
      </c>
      <c r="P12" s="273">
        <v>0</v>
      </c>
      <c r="Q12" s="337">
        <v>0.95202070224521151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3" customFormat="1">
      <c r="B13" s="144">
        <v>2</v>
      </c>
      <c r="C13" s="145" t="str">
        <f t="shared" si="0"/>
        <v>NGB Stadtwerke Kelheim GmbH NCG H-Gas</v>
      </c>
      <c r="D13" s="62" t="s">
        <v>246</v>
      </c>
      <c r="E13" s="165" t="s">
        <v>65</v>
      </c>
      <c r="F13" s="341" t="s">
        <v>332</v>
      </c>
      <c r="H13" s="273">
        <v>2.4859160999999999</v>
      </c>
      <c r="I13" s="273">
        <v>-35.043597800000001</v>
      </c>
      <c r="J13" s="273">
        <v>6.2818214000000001</v>
      </c>
      <c r="K13" s="273">
        <v>0.1065396</v>
      </c>
      <c r="L13" s="336">
        <v>40</v>
      </c>
      <c r="M13" s="273">
        <v>0</v>
      </c>
      <c r="N13" s="273">
        <v>0</v>
      </c>
      <c r="O13" s="273">
        <v>0</v>
      </c>
      <c r="P13" s="273">
        <v>0</v>
      </c>
      <c r="Q13" s="337">
        <v>1.0041152127680664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2" si="1">7-SUM(R13:W13)</f>
        <v>1</v>
      </c>
      <c r="Y13" s="292"/>
      <c r="Z13" s="210"/>
    </row>
    <row r="14" spans="2:26" s="143" customFormat="1">
      <c r="B14" s="144">
        <v>3</v>
      </c>
      <c r="C14" s="145" t="str">
        <f t="shared" si="0"/>
        <v>NGB Stadtwerke Kelheim GmbH NCG H-Gas</v>
      </c>
      <c r="D14" s="62" t="s">
        <v>246</v>
      </c>
      <c r="E14" s="165" t="s">
        <v>676</v>
      </c>
      <c r="F14" s="296" t="str">
        <f>VLOOKUP($E14,'BDEW-Standard'!$B$3:$M$94,F$9,0)</f>
        <v>HK3</v>
      </c>
      <c r="H14" s="273">
        <f>ROUND(VLOOKUP($E14,'BDEW-Standard'!$B$3:$M$94,H$9,0),7)</f>
        <v>0.40409319999999999</v>
      </c>
      <c r="I14" s="273">
        <f>ROUND(VLOOKUP($E14,'BDEW-Standard'!$B$3:$M$94,I$9,0),7)</f>
        <v>-24.439296800000001</v>
      </c>
      <c r="J14" s="273">
        <f>ROUND(VLOOKUP($E14,'BDEW-Standard'!$B$3:$M$94,J$9,0),7)</f>
        <v>6.5718174999999999</v>
      </c>
      <c r="K14" s="273">
        <f>ROUND(VLOOKUP($E14,'BDEW-Standard'!$B$3:$M$94,K$9,0),7)</f>
        <v>0.71077100000000004</v>
      </c>
      <c r="L14" s="336">
        <f>ROUND(VLOOKUP($E14,'BDEW-Standard'!$B$3:$M$94,L$9,0),1)</f>
        <v>40</v>
      </c>
      <c r="M14" s="273">
        <f>ROUND(VLOOKUP($E14,'BDEW-Standard'!$B$3:$M$94,M$9,0),7)</f>
        <v>0</v>
      </c>
      <c r="N14" s="273">
        <f>ROUND(VLOOKUP($E14,'BDEW-Standard'!$B$3:$M$94,N$9,0),7)</f>
        <v>0</v>
      </c>
      <c r="O14" s="273">
        <f>ROUND(VLOOKUP($E14,'BDEW-Standard'!$B$3:$M$94,O$9,0),7)</f>
        <v>0</v>
      </c>
      <c r="P14" s="273">
        <f>ROUND(VLOOKUP($E14,'BDEW-Standard'!$B$3:$M$94,P$9,0),7)</f>
        <v>0</v>
      </c>
      <c r="Q14" s="337">
        <f t="shared" ref="Q14:Q23" si="2">($H14/(1+($I14/($Q$9-$L14))^$J14)+$K14)+MAX($M14*$Q$9+$N14,$O14*$Q$9+$P14)</f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1"/>
        <v>1</v>
      </c>
      <c r="Y14" s="292"/>
      <c r="Z14" s="210"/>
    </row>
    <row r="15" spans="2:26" s="143" customFormat="1">
      <c r="B15" s="144">
        <v>4</v>
      </c>
      <c r="C15" s="145" t="str">
        <f t="shared" si="0"/>
        <v>NGB Stadtwerke Kelheim GmbH NCG H-Gas</v>
      </c>
      <c r="D15" s="62" t="s">
        <v>246</v>
      </c>
      <c r="E15" s="165" t="s">
        <v>663</v>
      </c>
      <c r="F15" s="296" t="str">
        <f>VLOOKUP($E15,'BDEW-Standard'!$B$3:$M$94,F$9,0)</f>
        <v>BA3</v>
      </c>
      <c r="H15" s="273">
        <f>ROUND(VLOOKUP($E15,'BDEW-Standard'!$B$3:$M$94,H$9,0),7)</f>
        <v>0.62619619999999998</v>
      </c>
      <c r="I15" s="273">
        <f>ROUND(VLOOKUP($E15,'BDEW-Standard'!$B$3:$M$94,I$9,0),7)</f>
        <v>-33</v>
      </c>
      <c r="J15" s="273">
        <f>ROUND(VLOOKUP($E15,'BDEW-Standard'!$B$3:$M$94,J$9,0),7)</f>
        <v>5.7212303000000002</v>
      </c>
      <c r="K15" s="273">
        <f>ROUND(VLOOKUP($E15,'BDEW-Standard'!$B$3:$M$94,K$9,0),7)</f>
        <v>0.78556550000000003</v>
      </c>
      <c r="L15" s="336">
        <f>ROUND(VLOOKUP($E15,'BDEW-Standard'!$B$3:$M$94,L$9,0),1)</f>
        <v>40</v>
      </c>
      <c r="M15" s="273">
        <f>ROUND(VLOOKUP($E15,'BDEW-Standard'!$B$3:$M$94,M$9,0),7)</f>
        <v>0</v>
      </c>
      <c r="N15" s="273">
        <f>ROUND(VLOOKUP($E15,'BDEW-Standard'!$B$3:$M$94,N$9,0),7)</f>
        <v>0</v>
      </c>
      <c r="O15" s="273">
        <f>ROUND(VLOOKUP($E15,'BDEW-Standard'!$B$3:$M$94,O$9,0),7)</f>
        <v>0</v>
      </c>
      <c r="P15" s="273">
        <f>ROUND(VLOOKUP($E15,'BDEW-Standard'!$B$3:$M$94,P$9,0),7)</f>
        <v>0</v>
      </c>
      <c r="Q15" s="337">
        <f t="shared" si="2"/>
        <v>1.0711738317583412</v>
      </c>
      <c r="R15" s="274">
        <f>ROUND(VLOOKUP(MID($E15,4,3),'Wochentag F(WT)'!$B$7:$J$22,R$9,0),4)</f>
        <v>1.0848</v>
      </c>
      <c r="S15" s="274">
        <f>ROUND(VLOOKUP(MID($E15,4,3),'Wochentag F(WT)'!$B$7:$J$22,S$9,0),4)</f>
        <v>1.1211</v>
      </c>
      <c r="T15" s="274">
        <f>ROUND(VLOOKUP(MID($E15,4,3),'Wochentag F(WT)'!$B$7:$J$22,T$9,0),4)</f>
        <v>1.0769</v>
      </c>
      <c r="U15" s="274">
        <f>ROUND(VLOOKUP(MID($E15,4,3),'Wochentag F(WT)'!$B$7:$J$22,U$9,0),4)</f>
        <v>1.1353</v>
      </c>
      <c r="V15" s="274">
        <f>ROUND(VLOOKUP(MID($E15,4,3),'Wochentag F(WT)'!$B$7:$J$22,V$9,0),4)</f>
        <v>1.1402000000000001</v>
      </c>
      <c r="W15" s="274">
        <f>ROUND(VLOOKUP(MID($E15,4,3),'Wochentag F(WT)'!$B$7:$J$22,W$9,0),4)</f>
        <v>0.48520000000000002</v>
      </c>
      <c r="X15" s="275">
        <f t="shared" si="1"/>
        <v>0.95650000000000013</v>
      </c>
      <c r="Y15" s="292"/>
      <c r="Z15" s="210"/>
    </row>
    <row r="16" spans="2:26" s="143" customFormat="1">
      <c r="B16" s="144">
        <v>5</v>
      </c>
      <c r="C16" s="145" t="str">
        <f t="shared" si="0"/>
        <v>NGB Stadtwerke Kelheim GmbH NCG H-Gas</v>
      </c>
      <c r="D16" s="62" t="s">
        <v>246</v>
      </c>
      <c r="E16" s="165" t="s">
        <v>664</v>
      </c>
      <c r="F16" s="296" t="str">
        <f>VLOOKUP($E16,'BDEW-Standard'!$B$3:$M$94,F$9,0)</f>
        <v>BD3</v>
      </c>
      <c r="H16" s="273">
        <f>ROUND(VLOOKUP($E16,'BDEW-Standard'!$B$3:$M$94,H$9,0),7)</f>
        <v>2.9177027</v>
      </c>
      <c r="I16" s="273">
        <f>ROUND(VLOOKUP($E16,'BDEW-Standard'!$B$3:$M$94,I$9,0),7)</f>
        <v>-36.179411700000003</v>
      </c>
      <c r="J16" s="273">
        <f>ROUND(VLOOKUP($E16,'BDEW-Standard'!$B$3:$M$94,J$9,0),7)</f>
        <v>5.9265162</v>
      </c>
      <c r="K16" s="273">
        <f>ROUND(VLOOKUP($E16,'BDEW-Standard'!$B$3:$M$94,K$9,0),7)</f>
        <v>0.11519119999999999</v>
      </c>
      <c r="L16" s="336">
        <f>ROUND(VLOOKUP($E16,'BDEW-Standard'!$B$3:$M$94,L$9,0),1)</f>
        <v>40</v>
      </c>
      <c r="M16" s="273">
        <f>ROUND(VLOOKUP($E16,'BDEW-Standard'!$B$3:$M$94,M$9,0),7)</f>
        <v>0</v>
      </c>
      <c r="N16" s="273">
        <f>ROUND(VLOOKUP($E16,'BDEW-Standard'!$B$3:$M$94,N$9,0),7)</f>
        <v>0</v>
      </c>
      <c r="O16" s="273">
        <f>ROUND(VLOOKUP($E16,'BDEW-Standard'!$B$3:$M$94,O$9,0),7)</f>
        <v>0</v>
      </c>
      <c r="P16" s="273">
        <f>ROUND(VLOOKUP($E16,'BDEW-Standard'!$B$3:$M$94,P$9,0),7)</f>
        <v>0</v>
      </c>
      <c r="Q16" s="337">
        <f t="shared" si="2"/>
        <v>1.0656106174494469</v>
      </c>
      <c r="R16" s="274">
        <f>ROUND(VLOOKUP(MID($E16,4,3),'Wochentag F(WT)'!$B$7:$J$22,R$9,0),4)</f>
        <v>1.1052</v>
      </c>
      <c r="S16" s="274">
        <f>ROUND(VLOOKUP(MID($E16,4,3),'Wochentag F(WT)'!$B$7:$J$22,S$9,0),4)</f>
        <v>1.0857000000000001</v>
      </c>
      <c r="T16" s="274">
        <f>ROUND(VLOOKUP(MID($E16,4,3),'Wochentag F(WT)'!$B$7:$J$22,T$9,0),4)</f>
        <v>1.0378000000000001</v>
      </c>
      <c r="U16" s="274">
        <f>ROUND(VLOOKUP(MID($E16,4,3),'Wochentag F(WT)'!$B$7:$J$22,U$9,0),4)</f>
        <v>1.0622</v>
      </c>
      <c r="V16" s="274">
        <f>ROUND(VLOOKUP(MID($E16,4,3),'Wochentag F(WT)'!$B$7:$J$22,V$9,0),4)</f>
        <v>1.0266</v>
      </c>
      <c r="W16" s="274">
        <f>ROUND(VLOOKUP(MID($E16,4,3),'Wochentag F(WT)'!$B$7:$J$22,W$9,0),4)</f>
        <v>0.76290000000000002</v>
      </c>
      <c r="X16" s="275">
        <f t="shared" si="1"/>
        <v>0.91959999999999997</v>
      </c>
      <c r="Y16" s="292"/>
      <c r="Z16" s="210"/>
    </row>
    <row r="17" spans="2:26" s="143" customFormat="1">
      <c r="B17" s="144">
        <v>6</v>
      </c>
      <c r="C17" s="145" t="str">
        <f t="shared" si="0"/>
        <v>NGB Stadtwerke Kelheim GmbH NCG H-Gas</v>
      </c>
      <c r="D17" s="62" t="s">
        <v>246</v>
      </c>
      <c r="E17" s="165" t="s">
        <v>665</v>
      </c>
      <c r="F17" s="296" t="str">
        <f>VLOOKUP($E17,'BDEW-Standard'!$B$3:$M$94,F$9,0)</f>
        <v>BH3</v>
      </c>
      <c r="H17" s="273">
        <f>ROUND(VLOOKUP($E17,'BDEW-Standard'!$B$3:$M$94,H$9,0),7)</f>
        <v>2.0102471999999998</v>
      </c>
      <c r="I17" s="273">
        <f>ROUND(VLOOKUP($E17,'BDEW-Standard'!$B$3:$M$94,I$9,0),7)</f>
        <v>-35.253212400000002</v>
      </c>
      <c r="J17" s="273">
        <f>ROUND(VLOOKUP($E17,'BDEW-Standard'!$B$3:$M$94,J$9,0),7)</f>
        <v>6.1544406</v>
      </c>
      <c r="K17" s="273">
        <f>ROUND(VLOOKUP($E17,'BDEW-Standard'!$B$3:$M$94,K$9,0),7)</f>
        <v>0.32947409999999999</v>
      </c>
      <c r="L17" s="336">
        <f>ROUND(VLOOKUP($E17,'BDEW-Standard'!$B$3:$M$94,L$9,0),1)</f>
        <v>40</v>
      </c>
      <c r="M17" s="273">
        <f>ROUND(VLOOKUP($E17,'BDEW-Standard'!$B$3:$M$94,M$9,0),7)</f>
        <v>0</v>
      </c>
      <c r="N17" s="273">
        <f>ROUND(VLOOKUP($E17,'BDEW-Standard'!$B$3:$M$94,N$9,0),7)</f>
        <v>0</v>
      </c>
      <c r="O17" s="273">
        <f>ROUND(VLOOKUP($E17,'BDEW-Standard'!$B$3:$M$94,O$9,0),7)</f>
        <v>0</v>
      </c>
      <c r="P17" s="273">
        <f>ROUND(VLOOKUP($E17,'BDEW-Standard'!$B$3:$M$94,P$9,0),7)</f>
        <v>0</v>
      </c>
      <c r="Q17" s="337">
        <f t="shared" si="2"/>
        <v>1.0436896084076008</v>
      </c>
      <c r="R17" s="274">
        <f>ROUND(VLOOKUP(MID($E17,4,3),'Wochentag F(WT)'!$B$7:$J$22,R$9,0),4)</f>
        <v>0.97670000000000001</v>
      </c>
      <c r="S17" s="274">
        <f>ROUND(VLOOKUP(MID($E17,4,3),'Wochentag F(WT)'!$B$7:$J$22,S$9,0),4)</f>
        <v>1.0388999999999999</v>
      </c>
      <c r="T17" s="274">
        <f>ROUND(VLOOKUP(MID($E17,4,3),'Wochentag F(WT)'!$B$7:$J$22,T$9,0),4)</f>
        <v>1.0027999999999999</v>
      </c>
      <c r="U17" s="274">
        <f>ROUND(VLOOKUP(MID($E17,4,3),'Wochentag F(WT)'!$B$7:$J$22,U$9,0),4)</f>
        <v>1.0162</v>
      </c>
      <c r="V17" s="274">
        <f>ROUND(VLOOKUP(MID($E17,4,3),'Wochentag F(WT)'!$B$7:$J$22,V$9,0),4)</f>
        <v>1.0024</v>
      </c>
      <c r="W17" s="274">
        <f>ROUND(VLOOKUP(MID($E17,4,3),'Wochentag F(WT)'!$B$7:$J$22,W$9,0),4)</f>
        <v>1.0043</v>
      </c>
      <c r="X17" s="275">
        <f t="shared" si="1"/>
        <v>0.95870000000000122</v>
      </c>
      <c r="Y17" s="292"/>
      <c r="Z17" s="210"/>
    </row>
    <row r="18" spans="2:26" s="143" customFormat="1">
      <c r="B18" s="144">
        <v>7</v>
      </c>
      <c r="C18" s="145" t="str">
        <f t="shared" si="0"/>
        <v>NGB Stadtwerke Kelheim GmbH NCG H-Gas</v>
      </c>
      <c r="D18" s="62" t="s">
        <v>246</v>
      </c>
      <c r="E18" s="165" t="s">
        <v>666</v>
      </c>
      <c r="F18" s="296" t="str">
        <f>VLOOKUP($E18,'BDEW-Standard'!$B$3:$M$94,F$9,0)</f>
        <v>GA3</v>
      </c>
      <c r="H18" s="273">
        <f>ROUND(VLOOKUP($E18,'BDEW-Standard'!$B$3:$M$94,H$9,0),7)</f>
        <v>2.2850164999999998</v>
      </c>
      <c r="I18" s="273">
        <f>ROUND(VLOOKUP($E18,'BDEW-Standard'!$B$3:$M$94,I$9,0),7)</f>
        <v>-36.287858399999998</v>
      </c>
      <c r="J18" s="273">
        <f>ROUND(VLOOKUP($E18,'BDEW-Standard'!$B$3:$M$94,J$9,0),7)</f>
        <v>6.5885125999999996</v>
      </c>
      <c r="K18" s="273">
        <f>ROUND(VLOOKUP($E18,'BDEW-Standard'!$B$3:$M$94,K$9,0),7)</f>
        <v>0.31505349999999999</v>
      </c>
      <c r="L18" s="336">
        <f>ROUND(VLOOKUP($E18,'BDEW-Standard'!$B$3:$M$94,L$9,0),1)</f>
        <v>40</v>
      </c>
      <c r="M18" s="273">
        <f>ROUND(VLOOKUP($E18,'BDEW-Standard'!$B$3:$M$94,M$9,0),7)</f>
        <v>0</v>
      </c>
      <c r="N18" s="273">
        <f>ROUND(VLOOKUP($E18,'BDEW-Standard'!$B$3:$M$94,N$9,0),7)</f>
        <v>0</v>
      </c>
      <c r="O18" s="273">
        <f>ROUND(VLOOKUP($E18,'BDEW-Standard'!$B$3:$M$94,O$9,0),7)</f>
        <v>0</v>
      </c>
      <c r="P18" s="273">
        <f>ROUND(VLOOKUP($E18,'BDEW-Standard'!$B$3:$M$94,P$9,0),7)</f>
        <v>0</v>
      </c>
      <c r="Q18" s="337">
        <f t="shared" si="2"/>
        <v>1.0096183914256316</v>
      </c>
      <c r="R18" s="274">
        <f>ROUND(VLOOKUP(MID($E18,4,3),'Wochentag F(WT)'!$B$7:$J$22,R$9,0),4)</f>
        <v>0.93220000000000003</v>
      </c>
      <c r="S18" s="274">
        <f>ROUND(VLOOKUP(MID($E18,4,3),'Wochentag F(WT)'!$B$7:$J$22,S$9,0),4)</f>
        <v>0.98939999999999995</v>
      </c>
      <c r="T18" s="274">
        <f>ROUND(VLOOKUP(MID($E18,4,3),'Wochentag F(WT)'!$B$7:$J$22,T$9,0),4)</f>
        <v>1.0033000000000001</v>
      </c>
      <c r="U18" s="274">
        <f>ROUND(VLOOKUP(MID($E18,4,3),'Wochentag F(WT)'!$B$7:$J$22,U$9,0),4)</f>
        <v>1.0108999999999999</v>
      </c>
      <c r="V18" s="274">
        <f>ROUND(VLOOKUP(MID($E18,4,3),'Wochentag F(WT)'!$B$7:$J$22,V$9,0),4)</f>
        <v>1.018</v>
      </c>
      <c r="W18" s="274">
        <f>ROUND(VLOOKUP(MID($E18,4,3),'Wochentag F(WT)'!$B$7:$J$22,W$9,0),4)</f>
        <v>1.0356000000000001</v>
      </c>
      <c r="X18" s="275">
        <f t="shared" si="1"/>
        <v>1.0106000000000002</v>
      </c>
      <c r="Y18" s="292"/>
      <c r="Z18" s="210"/>
    </row>
    <row r="19" spans="2:26" s="143" customFormat="1">
      <c r="B19" s="144">
        <v>8</v>
      </c>
      <c r="C19" s="145" t="str">
        <f t="shared" si="0"/>
        <v>NGB Stadtwerke Kelheim GmbH NCG H-Gas</v>
      </c>
      <c r="D19" s="62" t="s">
        <v>246</v>
      </c>
      <c r="E19" s="165" t="s">
        <v>667</v>
      </c>
      <c r="F19" s="296" t="str">
        <f>VLOOKUP($E19,'BDEW-Standard'!$B$3:$M$94,F$9,0)</f>
        <v>HA3</v>
      </c>
      <c r="H19" s="273">
        <f>ROUND(VLOOKUP($E19,'BDEW-Standard'!$B$3:$M$94,H$9,0),7)</f>
        <v>3.5811213999999998</v>
      </c>
      <c r="I19" s="273">
        <f>ROUND(VLOOKUP($E19,'BDEW-Standard'!$B$3:$M$94,I$9,0),7)</f>
        <v>-36.965006500000001</v>
      </c>
      <c r="J19" s="273">
        <f>ROUND(VLOOKUP($E19,'BDEW-Standard'!$B$3:$M$94,J$9,0),7)</f>
        <v>7.2256947</v>
      </c>
      <c r="K19" s="273">
        <f>ROUND(VLOOKUP($E19,'BDEW-Standard'!$B$3:$M$94,K$9,0),7)</f>
        <v>4.4841600000000002E-2</v>
      </c>
      <c r="L19" s="336">
        <f>ROUND(VLOOKUP($E19,'BDEW-Standard'!$B$3:$M$94,L$9,0),1)</f>
        <v>40</v>
      </c>
      <c r="M19" s="273">
        <f>ROUND(VLOOKUP($E19,'BDEW-Standard'!$B$3:$M$94,M$9,0),7)</f>
        <v>0</v>
      </c>
      <c r="N19" s="273">
        <f>ROUND(VLOOKUP($E19,'BDEW-Standard'!$B$3:$M$94,N$9,0),7)</f>
        <v>0</v>
      </c>
      <c r="O19" s="273">
        <f>ROUND(VLOOKUP($E19,'BDEW-Standard'!$B$3:$M$94,O$9,0),7)</f>
        <v>0</v>
      </c>
      <c r="P19" s="273">
        <f>ROUND(VLOOKUP($E19,'BDEW-Standard'!$B$3:$M$94,P$9,0),7)</f>
        <v>0</v>
      </c>
      <c r="Q19" s="337">
        <f t="shared" si="2"/>
        <v>0.97852945357176691</v>
      </c>
      <c r="R19" s="274">
        <f>ROUND(VLOOKUP(MID($E19,4,3),'Wochentag F(WT)'!$B$7:$J$22,R$9,0),4)</f>
        <v>1.0358000000000001</v>
      </c>
      <c r="S19" s="274">
        <f>ROUND(VLOOKUP(MID($E19,4,3),'Wochentag F(WT)'!$B$7:$J$22,S$9,0),4)</f>
        <v>1.0232000000000001</v>
      </c>
      <c r="T19" s="274">
        <f>ROUND(VLOOKUP(MID($E19,4,3),'Wochentag F(WT)'!$B$7:$J$22,T$9,0),4)</f>
        <v>1.0251999999999999</v>
      </c>
      <c r="U19" s="274">
        <f>ROUND(VLOOKUP(MID($E19,4,3),'Wochentag F(WT)'!$B$7:$J$22,U$9,0),4)</f>
        <v>1.0295000000000001</v>
      </c>
      <c r="V19" s="274">
        <f>ROUND(VLOOKUP(MID($E19,4,3),'Wochentag F(WT)'!$B$7:$J$22,V$9,0),4)</f>
        <v>1.0253000000000001</v>
      </c>
      <c r="W19" s="274">
        <f>ROUND(VLOOKUP(MID($E19,4,3),'Wochentag F(WT)'!$B$7:$J$22,W$9,0),4)</f>
        <v>0.96750000000000003</v>
      </c>
      <c r="X19" s="275">
        <f t="shared" si="1"/>
        <v>0.89350000000000041</v>
      </c>
      <c r="Y19" s="292"/>
      <c r="Z19" s="210"/>
    </row>
    <row r="20" spans="2:26" s="143" customFormat="1">
      <c r="B20" s="144">
        <v>9</v>
      </c>
      <c r="C20" s="145" t="str">
        <f t="shared" si="0"/>
        <v>NGB Stadtwerke Kelheim GmbH NCG H-Gas</v>
      </c>
      <c r="D20" s="62" t="s">
        <v>246</v>
      </c>
      <c r="E20" s="165" t="s">
        <v>668</v>
      </c>
      <c r="F20" s="296" t="str">
        <f>VLOOKUP($E20,'BDEW-Standard'!$B$3:$M$94,F$9,0)</f>
        <v>HD3</v>
      </c>
      <c r="H20" s="273">
        <f>ROUND(VLOOKUP($E20,'BDEW-Standard'!$B$3:$M$94,H$9,0),7)</f>
        <v>2.5792510000000002</v>
      </c>
      <c r="I20" s="273">
        <f>ROUND(VLOOKUP($E20,'BDEW-Standard'!$B$3:$M$94,I$9,0),7)</f>
        <v>-35.681614400000001</v>
      </c>
      <c r="J20" s="273">
        <f>ROUND(VLOOKUP($E20,'BDEW-Standard'!$B$3:$M$94,J$9,0),7)</f>
        <v>6.6857975999999999</v>
      </c>
      <c r="K20" s="273">
        <f>ROUND(VLOOKUP($E20,'BDEW-Standard'!$B$3:$M$94,K$9,0),7)</f>
        <v>0.19955410000000001</v>
      </c>
      <c r="L20" s="336">
        <f>ROUND(VLOOKUP($E20,'BDEW-Standard'!$B$3:$M$94,L$9,0),1)</f>
        <v>40</v>
      </c>
      <c r="M20" s="273">
        <f>ROUND(VLOOKUP($E20,'BDEW-Standard'!$B$3:$M$94,M$9,0),7)</f>
        <v>0</v>
      </c>
      <c r="N20" s="273">
        <f>ROUND(VLOOKUP($E20,'BDEW-Standard'!$B$3:$M$94,N$9,0),7)</f>
        <v>0</v>
      </c>
      <c r="O20" s="273">
        <f>ROUND(VLOOKUP($E20,'BDEW-Standard'!$B$3:$M$94,O$9,0),7)</f>
        <v>0</v>
      </c>
      <c r="P20" s="273">
        <f>ROUND(VLOOKUP($E20,'BDEW-Standard'!$B$3:$M$94,P$9,0),7)</f>
        <v>0</v>
      </c>
      <c r="Q20" s="337">
        <f t="shared" si="2"/>
        <v>1.0393994293439688</v>
      </c>
      <c r="R20" s="274">
        <f>ROUND(VLOOKUP(MID($E20,4,3),'Wochentag F(WT)'!$B$7:$J$22,R$9,0),4)</f>
        <v>1.03</v>
      </c>
      <c r="S20" s="274">
        <f>ROUND(VLOOKUP(MID($E20,4,3),'Wochentag F(WT)'!$B$7:$J$22,S$9,0),4)</f>
        <v>1.03</v>
      </c>
      <c r="T20" s="274">
        <f>ROUND(VLOOKUP(MID($E20,4,3),'Wochentag F(WT)'!$B$7:$J$22,T$9,0),4)</f>
        <v>1.02</v>
      </c>
      <c r="U20" s="274">
        <f>ROUND(VLOOKUP(MID($E20,4,3),'Wochentag F(WT)'!$B$7:$J$22,U$9,0),4)</f>
        <v>1.03</v>
      </c>
      <c r="V20" s="274">
        <f>ROUND(VLOOKUP(MID($E20,4,3),'Wochentag F(WT)'!$B$7:$J$22,V$9,0),4)</f>
        <v>1.01</v>
      </c>
      <c r="W20" s="274">
        <f>ROUND(VLOOKUP(MID($E20,4,3),'Wochentag F(WT)'!$B$7:$J$22,W$9,0),4)</f>
        <v>0.93</v>
      </c>
      <c r="X20" s="275">
        <f t="shared" si="1"/>
        <v>0.95000000000000018</v>
      </c>
      <c r="Y20" s="292"/>
      <c r="Z20" s="210"/>
    </row>
    <row r="21" spans="2:26" s="143" customFormat="1">
      <c r="B21" s="144">
        <v>10</v>
      </c>
      <c r="C21" s="145" t="str">
        <f t="shared" si="0"/>
        <v>NGB Stadtwerke Kelheim GmbH NCG H-Gas</v>
      </c>
      <c r="D21" s="62" t="s">
        <v>246</v>
      </c>
      <c r="E21" s="165" t="s">
        <v>669</v>
      </c>
      <c r="F21" s="296" t="str">
        <f>VLOOKUP($E21,'BDEW-Standard'!$B$3:$M$94,F$9,0)</f>
        <v>KO3</v>
      </c>
      <c r="H21" s="273">
        <f>ROUND(VLOOKUP($E21,'BDEW-Standard'!$B$3:$M$94,H$9,0),7)</f>
        <v>2.7172288</v>
      </c>
      <c r="I21" s="273">
        <f>ROUND(VLOOKUP($E21,'BDEW-Standard'!$B$3:$M$94,I$9,0),7)</f>
        <v>-35.141256300000002</v>
      </c>
      <c r="J21" s="273">
        <f>ROUND(VLOOKUP($E21,'BDEW-Standard'!$B$3:$M$94,J$9,0),7)</f>
        <v>7.1303394999999998</v>
      </c>
      <c r="K21" s="273">
        <f>ROUND(VLOOKUP($E21,'BDEW-Standard'!$B$3:$M$94,K$9,0),7)</f>
        <v>0.14184720000000001</v>
      </c>
      <c r="L21" s="336">
        <f>ROUND(VLOOKUP($E21,'BDEW-Standard'!$B$3:$M$94,L$9,0),1)</f>
        <v>40</v>
      </c>
      <c r="M21" s="273">
        <f>ROUND(VLOOKUP($E21,'BDEW-Standard'!$B$3:$M$94,M$9,0),7)</f>
        <v>0</v>
      </c>
      <c r="N21" s="273">
        <f>ROUND(VLOOKUP($E21,'BDEW-Standard'!$B$3:$M$94,N$9,0),7)</f>
        <v>0</v>
      </c>
      <c r="O21" s="273">
        <f>ROUND(VLOOKUP($E21,'BDEW-Standard'!$B$3:$M$94,O$9,0),7)</f>
        <v>0</v>
      </c>
      <c r="P21" s="273">
        <f>ROUND(VLOOKUP($E21,'BDEW-Standard'!$B$3:$M$94,P$9,0),7)</f>
        <v>0</v>
      </c>
      <c r="Q21" s="337">
        <f t="shared" si="2"/>
        <v>1.0630299199876638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1"/>
        <v>0.94349999999999934</v>
      </c>
      <c r="Y21" s="292"/>
      <c r="Z21" s="210"/>
    </row>
    <row r="22" spans="2:26" s="143" customFormat="1">
      <c r="B22" s="144">
        <v>11</v>
      </c>
      <c r="C22" s="145" t="str">
        <f t="shared" si="0"/>
        <v>NGB Stadtwerke Kelheim GmbH NCG H-Gas</v>
      </c>
      <c r="D22" s="62" t="s">
        <v>246</v>
      </c>
      <c r="E22" s="165" t="s">
        <v>670</v>
      </c>
      <c r="F22" s="296" t="str">
        <f>VLOOKUP($E22,'BDEW-Standard'!$B$3:$M$94,F$9,0)</f>
        <v>MK3</v>
      </c>
      <c r="H22" s="273">
        <f>ROUND(VLOOKUP($E22,'BDEW-Standard'!$B$3:$M$94,H$9,0),7)</f>
        <v>2.7882424000000001</v>
      </c>
      <c r="I22" s="273">
        <f>ROUND(VLOOKUP($E22,'BDEW-Standard'!$B$3:$M$94,I$9,0),7)</f>
        <v>-34.880612999999997</v>
      </c>
      <c r="J22" s="273">
        <f>ROUND(VLOOKUP($E22,'BDEW-Standard'!$B$3:$M$94,J$9,0),7)</f>
        <v>6.5951899000000003</v>
      </c>
      <c r="K22" s="273">
        <f>ROUND(VLOOKUP($E22,'BDEW-Standard'!$B$3:$M$94,K$9,0),7)</f>
        <v>5.4032900000000002E-2</v>
      </c>
      <c r="L22" s="336">
        <f>ROUND(VLOOKUP($E22,'BDEW-Standard'!$B$3:$M$94,L$9,0),1)</f>
        <v>40</v>
      </c>
      <c r="M22" s="273">
        <f>ROUND(VLOOKUP($E22,'BDEW-Standard'!$B$3:$M$94,M$9,0),7)</f>
        <v>0</v>
      </c>
      <c r="N22" s="273">
        <f>ROUND(VLOOKUP($E22,'BDEW-Standard'!$B$3:$M$94,N$9,0),7)</f>
        <v>0</v>
      </c>
      <c r="O22" s="273">
        <f>ROUND(VLOOKUP($E22,'BDEW-Standard'!$B$3:$M$94,O$9,0),7)</f>
        <v>0</v>
      </c>
      <c r="P22" s="273">
        <f>ROUND(VLOOKUP($E22,'BDEW-Standard'!$B$3:$M$94,P$9,0),7)</f>
        <v>0</v>
      </c>
      <c r="Q22" s="337">
        <f t="shared" si="2"/>
        <v>1.0622306107520199</v>
      </c>
      <c r="R22" s="274">
        <f>ROUND(VLOOKUP(MID($E22,4,3),'Wochentag F(WT)'!$B$7:$J$22,R$9,0),4)</f>
        <v>1.0699000000000001</v>
      </c>
      <c r="S22" s="274">
        <f>ROUND(VLOOKUP(MID($E22,4,3),'Wochentag F(WT)'!$B$7:$J$22,S$9,0),4)</f>
        <v>1.0365</v>
      </c>
      <c r="T22" s="274">
        <f>ROUND(VLOOKUP(MID($E22,4,3),'Wochentag F(WT)'!$B$7:$J$22,T$9,0),4)</f>
        <v>0.99329999999999996</v>
      </c>
      <c r="U22" s="274">
        <f>ROUND(VLOOKUP(MID($E22,4,3),'Wochentag F(WT)'!$B$7:$J$22,U$9,0),4)</f>
        <v>0.99480000000000002</v>
      </c>
      <c r="V22" s="274">
        <f>ROUND(VLOOKUP(MID($E22,4,3),'Wochentag F(WT)'!$B$7:$J$22,V$9,0),4)</f>
        <v>1.0659000000000001</v>
      </c>
      <c r="W22" s="274">
        <f>ROUND(VLOOKUP(MID($E22,4,3),'Wochentag F(WT)'!$B$7:$J$22,W$9,0),4)</f>
        <v>0.93620000000000003</v>
      </c>
      <c r="X22" s="275">
        <f t="shared" si="1"/>
        <v>0.90339999999999954</v>
      </c>
      <c r="Y22" s="292"/>
      <c r="Z22" s="210"/>
    </row>
    <row r="23" spans="2:26" s="143" customFormat="1">
      <c r="B23" s="144">
        <v>12</v>
      </c>
      <c r="C23" s="145" t="str">
        <f t="shared" si="0"/>
        <v>NGB Stadtwerke Kelheim GmbH NCG H-Gas</v>
      </c>
      <c r="D23" s="62" t="s">
        <v>246</v>
      </c>
      <c r="E23" s="165" t="s">
        <v>671</v>
      </c>
      <c r="F23" s="296" t="str">
        <f>VLOOKUP($E23,'BDEW-Standard'!$B$3:$M$94,F$9,0)</f>
        <v>WA3</v>
      </c>
      <c r="H23" s="273">
        <f>ROUND(VLOOKUP($E23,'BDEW-Standard'!$B$3:$M$94,H$9,0),7)</f>
        <v>0.76572899999999999</v>
      </c>
      <c r="I23" s="273">
        <f>ROUND(VLOOKUP($E23,'BDEW-Standard'!$B$3:$M$94,I$9,0),7)</f>
        <v>-36.023791199999998</v>
      </c>
      <c r="J23" s="273">
        <f>ROUND(VLOOKUP($E23,'BDEW-Standard'!$B$3:$M$94,J$9,0),7)</f>
        <v>4.8662747</v>
      </c>
      <c r="K23" s="273">
        <f>ROUND(VLOOKUP($E23,'BDEW-Standard'!$B$3:$M$94,K$9,0),7)</f>
        <v>0.80494250000000001</v>
      </c>
      <c r="L23" s="336">
        <f>ROUND(VLOOKUP($E23,'BDEW-Standard'!$B$3:$M$94,L$9,0),1)</f>
        <v>40</v>
      </c>
      <c r="M23" s="273">
        <f>ROUND(VLOOKUP($E23,'BDEW-Standard'!$B$3:$M$94,M$9,0),7)</f>
        <v>0</v>
      </c>
      <c r="N23" s="273">
        <f>ROUND(VLOOKUP($E23,'BDEW-Standard'!$B$3:$M$94,N$9,0),7)</f>
        <v>0</v>
      </c>
      <c r="O23" s="273">
        <f>ROUND(VLOOKUP($E23,'BDEW-Standard'!$B$3:$M$94,O$9,0),7)</f>
        <v>0</v>
      </c>
      <c r="P23" s="273">
        <f>ROUND(VLOOKUP($E23,'BDEW-Standard'!$B$3:$M$94,P$9,0),7)</f>
        <v>0</v>
      </c>
      <c r="Q23" s="337">
        <f t="shared" si="2"/>
        <v>1.0804258319686442</v>
      </c>
      <c r="R23" s="274">
        <f>ROUND(VLOOKUP(MID($E23,4,3),'Wochentag F(WT)'!$B$7:$J$22,R$9,0),4)</f>
        <v>1.2457</v>
      </c>
      <c r="S23" s="274">
        <f>ROUND(VLOOKUP(MID($E23,4,3),'Wochentag F(WT)'!$B$7:$J$22,S$9,0),4)</f>
        <v>1.2615000000000001</v>
      </c>
      <c r="T23" s="274">
        <f>ROUND(VLOOKUP(MID($E23,4,3),'Wochentag F(WT)'!$B$7:$J$22,T$9,0),4)</f>
        <v>1.2706999999999999</v>
      </c>
      <c r="U23" s="274">
        <f>ROUND(VLOOKUP(MID($E23,4,3),'Wochentag F(WT)'!$B$7:$J$22,U$9,0),4)</f>
        <v>1.2430000000000001</v>
      </c>
      <c r="V23" s="274">
        <f>ROUND(VLOOKUP(MID($E23,4,3),'Wochentag F(WT)'!$B$7:$J$22,V$9,0),4)</f>
        <v>1.1275999999999999</v>
      </c>
      <c r="W23" s="274">
        <f>ROUND(VLOOKUP(MID($E23,4,3),'Wochentag F(WT)'!$B$7:$J$22,W$9,0),4)</f>
        <v>0.38769999999999999</v>
      </c>
      <c r="X23" s="275">
        <f t="shared" ref="X23" si="3">7-SUM(R23:W23)</f>
        <v>0.46379999999999999</v>
      </c>
      <c r="Y23" s="292"/>
      <c r="Z23" s="210"/>
    </row>
    <row r="24" spans="2:26" s="143" customFormat="1">
      <c r="B24" s="144">
        <v>13</v>
      </c>
      <c r="C24" s="145" t="str">
        <f t="shared" si="0"/>
        <v>NGB Stadtwerke Kelheim GmbH NCG H-Gas</v>
      </c>
      <c r="D24" s="62"/>
      <c r="E24" s="164"/>
      <c r="F24" s="296"/>
      <c r="H24" s="273"/>
      <c r="I24" s="273"/>
      <c r="J24" s="273"/>
      <c r="K24" s="273"/>
      <c r="L24" s="336"/>
      <c r="M24" s="273"/>
      <c r="N24" s="273"/>
      <c r="O24" s="273"/>
      <c r="P24" s="273"/>
      <c r="Q24" s="337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3" customFormat="1">
      <c r="B25" s="144">
        <v>14</v>
      </c>
      <c r="C25" s="145" t="str">
        <f t="shared" si="0"/>
        <v>NGB Stadtwerke Kelheim GmbH NCG H-Gas</v>
      </c>
      <c r="D25" s="62"/>
      <c r="E25" s="164"/>
      <c r="F25" s="296"/>
      <c r="H25" s="273"/>
      <c r="I25" s="273"/>
      <c r="J25" s="273"/>
      <c r="K25" s="273"/>
      <c r="L25" s="336"/>
      <c r="M25" s="273"/>
      <c r="N25" s="273"/>
      <c r="O25" s="273"/>
      <c r="P25" s="273"/>
      <c r="Q25" s="337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3" customFormat="1">
      <c r="B26" s="144">
        <v>15</v>
      </c>
      <c r="C26" s="145" t="str">
        <f t="shared" si="0"/>
        <v>NGB Stadtwerke Kelheim GmbH NCG H-Gas</v>
      </c>
      <c r="D26" s="62"/>
      <c r="E26" s="164"/>
      <c r="F26" s="296"/>
      <c r="H26" s="273"/>
      <c r="I26" s="273"/>
      <c r="J26" s="273"/>
      <c r="K26" s="273"/>
      <c r="L26" s="336"/>
      <c r="M26" s="273"/>
      <c r="N26" s="273"/>
      <c r="O26" s="273"/>
      <c r="P26" s="273"/>
      <c r="Q26" s="337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3" customFormat="1">
      <c r="B27" s="144">
        <v>16</v>
      </c>
      <c r="C27" s="145" t="str">
        <f t="shared" si="0"/>
        <v>NGB Stadtwerke Kelheim GmbH NCG H-Gas</v>
      </c>
      <c r="D27" s="62"/>
      <c r="E27" s="165"/>
      <c r="F27" s="296"/>
      <c r="H27" s="276"/>
      <c r="I27" s="276"/>
      <c r="J27" s="276"/>
      <c r="K27" s="276"/>
      <c r="L27" s="336"/>
      <c r="M27" s="276"/>
      <c r="N27" s="276"/>
      <c r="O27" s="276"/>
      <c r="P27" s="276"/>
      <c r="Q27" s="338"/>
      <c r="R27" s="277"/>
      <c r="S27" s="277"/>
      <c r="T27" s="277"/>
      <c r="U27" s="277"/>
      <c r="V27" s="277"/>
      <c r="W27" s="277"/>
      <c r="X27" s="278"/>
      <c r="Y27" s="292"/>
    </row>
    <row r="28" spans="2:26" s="143" customFormat="1">
      <c r="B28" s="144">
        <v>17</v>
      </c>
      <c r="C28" s="145" t="str">
        <f t="shared" si="0"/>
        <v>NGB Stadtwerke Kelheim GmbH NCG H-Gas</v>
      </c>
      <c r="D28" s="62"/>
      <c r="E28" s="165"/>
      <c r="F28" s="296"/>
      <c r="H28" s="276"/>
      <c r="I28" s="276"/>
      <c r="J28" s="276"/>
      <c r="K28" s="276"/>
      <c r="L28" s="336"/>
      <c r="M28" s="276"/>
      <c r="N28" s="276"/>
      <c r="O28" s="276"/>
      <c r="P28" s="276"/>
      <c r="Q28" s="338"/>
      <c r="R28" s="277"/>
      <c r="S28" s="277"/>
      <c r="T28" s="277"/>
      <c r="U28" s="277"/>
      <c r="V28" s="277"/>
      <c r="W28" s="277"/>
      <c r="X28" s="278"/>
      <c r="Y28" s="292"/>
    </row>
    <row r="29" spans="2:26" s="143" customFormat="1">
      <c r="B29" s="144">
        <v>18</v>
      </c>
      <c r="C29" s="145" t="str">
        <f t="shared" si="0"/>
        <v>NGB Stadtwerke Kelheim GmbH NCG H-Gas</v>
      </c>
      <c r="D29" s="62"/>
      <c r="E29" s="165"/>
      <c r="F29" s="296"/>
      <c r="H29" s="276"/>
      <c r="I29" s="276"/>
      <c r="J29" s="276"/>
      <c r="K29" s="276"/>
      <c r="L29" s="336"/>
      <c r="M29" s="276"/>
      <c r="N29" s="276"/>
      <c r="O29" s="276"/>
      <c r="P29" s="276"/>
      <c r="Q29" s="338"/>
      <c r="R29" s="277"/>
      <c r="S29" s="277"/>
      <c r="T29" s="277"/>
      <c r="U29" s="277"/>
      <c r="V29" s="277"/>
      <c r="W29" s="277"/>
      <c r="X29" s="278"/>
      <c r="Y29" s="292"/>
    </row>
    <row r="30" spans="2:26" s="143" customFormat="1">
      <c r="B30" s="144">
        <v>19</v>
      </c>
      <c r="C30" s="145" t="str">
        <f t="shared" si="0"/>
        <v>NGB Stadtwerke Kelheim GmbH NCG H-Gas</v>
      </c>
      <c r="D30" s="62"/>
      <c r="E30" s="165"/>
      <c r="F30" s="296"/>
      <c r="H30" s="276"/>
      <c r="I30" s="276"/>
      <c r="J30" s="276"/>
      <c r="K30" s="276"/>
      <c r="L30" s="336"/>
      <c r="M30" s="276"/>
      <c r="N30" s="276"/>
      <c r="O30" s="276"/>
      <c r="P30" s="276"/>
      <c r="Q30" s="338"/>
      <c r="R30" s="277"/>
      <c r="S30" s="277"/>
      <c r="T30" s="277"/>
      <c r="U30" s="277"/>
      <c r="V30" s="277"/>
      <c r="W30" s="277"/>
      <c r="X30" s="278"/>
      <c r="Y30" s="292"/>
    </row>
    <row r="31" spans="2:26" s="143" customFormat="1">
      <c r="B31" s="144">
        <v>20</v>
      </c>
      <c r="C31" s="145" t="str">
        <f t="shared" si="0"/>
        <v>NGB Stadtwerke Kelheim GmbH NCG H-Gas</v>
      </c>
      <c r="D31" s="62"/>
      <c r="E31" s="165"/>
      <c r="F31" s="296"/>
      <c r="H31" s="276"/>
      <c r="I31" s="276"/>
      <c r="J31" s="276"/>
      <c r="K31" s="276"/>
      <c r="L31" s="336"/>
      <c r="M31" s="276"/>
      <c r="N31" s="276"/>
      <c r="O31" s="276"/>
      <c r="P31" s="276"/>
      <c r="Q31" s="338"/>
      <c r="R31" s="277"/>
      <c r="S31" s="277"/>
      <c r="T31" s="277"/>
      <c r="U31" s="277"/>
      <c r="V31" s="277"/>
      <c r="W31" s="277"/>
      <c r="X31" s="278"/>
      <c r="Y31" s="292"/>
    </row>
    <row r="32" spans="2:26" s="143" customFormat="1">
      <c r="B32" s="144">
        <v>21</v>
      </c>
      <c r="C32" s="145" t="str">
        <f t="shared" si="0"/>
        <v>NGB Stadtwerke Kelheim GmbH NCG H-Gas</v>
      </c>
      <c r="D32" s="62"/>
      <c r="E32" s="165"/>
      <c r="F32" s="296"/>
      <c r="H32" s="276"/>
      <c r="I32" s="276"/>
      <c r="J32" s="276"/>
      <c r="K32" s="276"/>
      <c r="L32" s="336"/>
      <c r="M32" s="276"/>
      <c r="N32" s="276"/>
      <c r="O32" s="276"/>
      <c r="P32" s="276"/>
      <c r="Q32" s="338"/>
      <c r="R32" s="277"/>
      <c r="S32" s="277"/>
      <c r="T32" s="277"/>
      <c r="U32" s="277"/>
      <c r="V32" s="277"/>
      <c r="W32" s="277"/>
      <c r="X32" s="278"/>
      <c r="Y32" s="292"/>
    </row>
    <row r="33" spans="2:25" s="143" customFormat="1">
      <c r="B33" s="144">
        <v>22</v>
      </c>
      <c r="C33" s="145" t="str">
        <f t="shared" si="0"/>
        <v>NGB Stadtwerke Kelheim GmbH NCG H-Gas</v>
      </c>
      <c r="D33" s="62"/>
      <c r="E33" s="165"/>
      <c r="F33" s="296"/>
      <c r="H33" s="276"/>
      <c r="I33" s="276"/>
      <c r="J33" s="276"/>
      <c r="K33" s="276"/>
      <c r="L33" s="336"/>
      <c r="M33" s="276"/>
      <c r="N33" s="276"/>
      <c r="O33" s="276"/>
      <c r="P33" s="276"/>
      <c r="Q33" s="338"/>
      <c r="R33" s="277"/>
      <c r="S33" s="277"/>
      <c r="T33" s="277"/>
      <c r="U33" s="277"/>
      <c r="V33" s="277"/>
      <c r="W33" s="277"/>
      <c r="X33" s="278"/>
      <c r="Y33" s="292"/>
    </row>
    <row r="34" spans="2:25" s="143" customFormat="1">
      <c r="B34" s="144">
        <v>23</v>
      </c>
      <c r="C34" s="145" t="str">
        <f t="shared" si="0"/>
        <v>NGB Stadtwerke Kelheim GmbH NCG H-Gas</v>
      </c>
      <c r="D34" s="62"/>
      <c r="E34" s="165"/>
      <c r="F34" s="296"/>
      <c r="H34" s="276"/>
      <c r="I34" s="276"/>
      <c r="J34" s="276"/>
      <c r="K34" s="276"/>
      <c r="L34" s="336"/>
      <c r="M34" s="276"/>
      <c r="N34" s="276"/>
      <c r="O34" s="276"/>
      <c r="P34" s="276"/>
      <c r="Q34" s="338"/>
      <c r="R34" s="277"/>
      <c r="S34" s="277"/>
      <c r="T34" s="277"/>
      <c r="U34" s="277"/>
      <c r="V34" s="277"/>
      <c r="W34" s="277"/>
      <c r="X34" s="278"/>
      <c r="Y34" s="292"/>
    </row>
    <row r="35" spans="2:25" s="143" customFormat="1">
      <c r="B35" s="144">
        <v>24</v>
      </c>
      <c r="C35" s="145" t="str">
        <f t="shared" si="0"/>
        <v>NGB Stadtwerke Kelheim GmbH NCG H-Gas</v>
      </c>
      <c r="D35" s="62"/>
      <c r="E35" s="165"/>
      <c r="F35" s="296"/>
      <c r="H35" s="276"/>
      <c r="I35" s="276"/>
      <c r="J35" s="276"/>
      <c r="K35" s="276"/>
      <c r="L35" s="336"/>
      <c r="M35" s="276"/>
      <c r="N35" s="276"/>
      <c r="O35" s="276"/>
      <c r="P35" s="276"/>
      <c r="Q35" s="338"/>
      <c r="R35" s="277"/>
      <c r="S35" s="277"/>
      <c r="T35" s="277"/>
      <c r="U35" s="277"/>
      <c r="V35" s="277"/>
      <c r="W35" s="277"/>
      <c r="X35" s="278"/>
      <c r="Y35" s="292"/>
    </row>
    <row r="36" spans="2:25" s="143" customFormat="1">
      <c r="B36" s="144">
        <v>25</v>
      </c>
      <c r="C36" s="145" t="str">
        <f t="shared" si="0"/>
        <v>NGB Stadtwerke Kelheim GmbH NCG H-Gas</v>
      </c>
      <c r="D36" s="62"/>
      <c r="E36" s="165"/>
      <c r="F36" s="296"/>
      <c r="H36" s="276"/>
      <c r="I36" s="276"/>
      <c r="J36" s="276"/>
      <c r="K36" s="276"/>
      <c r="L36" s="336"/>
      <c r="M36" s="276"/>
      <c r="N36" s="276"/>
      <c r="O36" s="276"/>
      <c r="P36" s="276"/>
      <c r="Q36" s="338"/>
      <c r="R36" s="277"/>
      <c r="S36" s="277"/>
      <c r="T36" s="277"/>
      <c r="U36" s="277"/>
      <c r="V36" s="277"/>
      <c r="W36" s="277"/>
      <c r="X36" s="278"/>
      <c r="Y36" s="292"/>
    </row>
    <row r="37" spans="2:25" s="143" customFormat="1">
      <c r="B37" s="144">
        <v>26</v>
      </c>
      <c r="C37" s="145" t="str">
        <f t="shared" si="0"/>
        <v>NGB Stadtwerke Kelheim GmbH NCG H-Gas</v>
      </c>
      <c r="D37" s="62"/>
      <c r="E37" s="165"/>
      <c r="F37" s="296"/>
      <c r="H37" s="276"/>
      <c r="I37" s="276"/>
      <c r="J37" s="276"/>
      <c r="K37" s="276"/>
      <c r="L37" s="336"/>
      <c r="M37" s="276"/>
      <c r="N37" s="276"/>
      <c r="O37" s="276"/>
      <c r="P37" s="276"/>
      <c r="Q37" s="338"/>
      <c r="R37" s="277"/>
      <c r="S37" s="277"/>
      <c r="T37" s="277"/>
      <c r="U37" s="277"/>
      <c r="V37" s="277"/>
      <c r="W37" s="277"/>
      <c r="X37" s="278"/>
      <c r="Y37" s="292"/>
    </row>
    <row r="38" spans="2:25" s="143" customFormat="1">
      <c r="B38" s="144">
        <v>27</v>
      </c>
      <c r="C38" s="145" t="str">
        <f t="shared" si="0"/>
        <v>NGB Stadtwerke Kelheim GmbH NCG H-Gas</v>
      </c>
      <c r="D38" s="62"/>
      <c r="E38" s="165"/>
      <c r="F38" s="296"/>
      <c r="H38" s="276"/>
      <c r="I38" s="276"/>
      <c r="J38" s="276"/>
      <c r="K38" s="276"/>
      <c r="L38" s="336"/>
      <c r="M38" s="276"/>
      <c r="N38" s="276"/>
      <c r="O38" s="276"/>
      <c r="P38" s="276"/>
      <c r="Q38" s="338"/>
      <c r="R38" s="277"/>
      <c r="S38" s="277"/>
      <c r="T38" s="277"/>
      <c r="U38" s="277"/>
      <c r="V38" s="277"/>
      <c r="W38" s="277"/>
      <c r="X38" s="278"/>
      <c r="Y38" s="292"/>
    </row>
    <row r="39" spans="2:25" s="143" customFormat="1">
      <c r="B39" s="144">
        <v>28</v>
      </c>
      <c r="C39" s="145" t="str">
        <f t="shared" si="0"/>
        <v>NGB Stadtwerke Kelheim GmbH NCG H-Gas</v>
      </c>
      <c r="D39" s="62"/>
      <c r="E39" s="165"/>
      <c r="F39" s="296"/>
      <c r="H39" s="276"/>
      <c r="I39" s="276"/>
      <c r="J39" s="276"/>
      <c r="K39" s="276"/>
      <c r="L39" s="336"/>
      <c r="M39" s="276"/>
      <c r="N39" s="276"/>
      <c r="O39" s="276"/>
      <c r="P39" s="276"/>
      <c r="Q39" s="338"/>
      <c r="R39" s="277"/>
      <c r="S39" s="277"/>
      <c r="T39" s="277"/>
      <c r="U39" s="277"/>
      <c r="V39" s="277"/>
      <c r="W39" s="277"/>
      <c r="X39" s="278"/>
      <c r="Y39" s="292"/>
    </row>
    <row r="40" spans="2:25" s="143" customFormat="1">
      <c r="B40" s="144">
        <v>29</v>
      </c>
      <c r="C40" s="145" t="str">
        <f t="shared" si="0"/>
        <v>NGB Stadtwerke Kelheim GmbH NCG H-Gas</v>
      </c>
      <c r="D40" s="62"/>
      <c r="E40" s="165"/>
      <c r="F40" s="296"/>
      <c r="H40" s="276"/>
      <c r="I40" s="276"/>
      <c r="J40" s="276"/>
      <c r="K40" s="276"/>
      <c r="L40" s="336"/>
      <c r="M40" s="276"/>
      <c r="N40" s="276"/>
      <c r="O40" s="276"/>
      <c r="P40" s="276"/>
      <c r="Q40" s="338"/>
      <c r="R40" s="277"/>
      <c r="S40" s="277"/>
      <c r="T40" s="277"/>
      <c r="U40" s="277"/>
      <c r="V40" s="277"/>
      <c r="W40" s="277"/>
      <c r="X40" s="278"/>
      <c r="Y40" s="292"/>
    </row>
    <row r="41" spans="2:25" s="143" customFormat="1">
      <c r="B41" s="144">
        <v>30</v>
      </c>
      <c r="C41" s="145" t="str">
        <f t="shared" si="0"/>
        <v>NGB Stadtwerke Kelheim GmbH NCG H-Gas</v>
      </c>
      <c r="D41" s="62"/>
      <c r="E41" s="165"/>
      <c r="F41" s="296"/>
      <c r="H41" s="276"/>
      <c r="I41" s="276"/>
      <c r="J41" s="276"/>
      <c r="K41" s="276"/>
      <c r="L41" s="336"/>
      <c r="M41" s="276"/>
      <c r="N41" s="276"/>
      <c r="O41" s="276"/>
      <c r="P41" s="276"/>
      <c r="Q41" s="338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4:F22 H14:K22 C13:C33 C34:C41 M14:X22 R12:X12 R13:X13 F23:K23 M23:X23" unlockedFormula="1"/>
    <ignoredError sqref="L14:L23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0" sqref="B10:C10"/>
    </sheetView>
  </sheetViews>
  <sheetFormatPr baseColWidth="10" defaultColWidth="0" defaultRowHeight="13.2" zeroHeight="1"/>
  <cols>
    <col min="1" max="1" width="2.88671875" style="75" customWidth="1"/>
    <col min="2" max="2" width="15.109375" style="75" customWidth="1"/>
    <col min="3" max="3" width="14.6640625" style="75" customWidth="1"/>
    <col min="4" max="4" width="5.88671875" style="75" hidden="1" customWidth="1"/>
    <col min="5" max="5" width="5.109375" style="75" customWidth="1"/>
    <col min="6" max="12" width="12.6640625" style="75" customWidth="1"/>
    <col min="13" max="30" width="5.6640625" style="75" customWidth="1"/>
    <col min="31" max="31" width="11.44140625" style="75" customWidth="1"/>
    <col min="32" max="16384" width="11.44140625" style="75" hidden="1"/>
  </cols>
  <sheetData>
    <row r="1" spans="2:30" ht="75" customHeight="1"/>
    <row r="2" spans="2:30" ht="22.8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STADTWERKE KELHEIM GmbH &amp; Co KG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4">
      <c r="B5" s="87" t="s">
        <v>446</v>
      </c>
      <c r="C5" s="64" t="str">
        <f>Netzbetreiber!$D$28</f>
        <v>NGB Stadtwerke Kelheim GmbH NCG H-Gas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4">
      <c r="B6" s="85" t="s">
        <v>444</v>
      </c>
      <c r="C6" s="63" t="str">
        <f>Netzbetreiber!$D$11</f>
        <v>9870046200000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" thickBot="1">
      <c r="B7" s="85" t="s">
        <v>132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460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428</v>
      </c>
    </row>
    <row r="10" spans="2:30" ht="72" customHeight="1" thickBot="1">
      <c r="B10" s="351" t="s">
        <v>583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429</v>
      </c>
    </row>
    <row r="11" spans="2:30" ht="15" thickBot="1">
      <c r="B11" s="102" t="s">
        <v>420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4.4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4">
      <c r="B13" s="116" t="s">
        <v>399</v>
      </c>
      <c r="C13" s="117"/>
      <c r="D13" s="111">
        <v>5</v>
      </c>
      <c r="E13" s="304">
        <f t="shared" ref="E13:E33" si="0">MIN(SUMPRODUCT($M$11:$AD$11,M13:AD13),1)</f>
        <v>1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4">
      <c r="B14" s="116" t="s">
        <v>400</v>
      </c>
      <c r="C14" s="117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4">
      <c r="B15" s="116" t="s">
        <v>402</v>
      </c>
      <c r="C15" s="117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4">
      <c r="B16" s="121" t="s">
        <v>414</v>
      </c>
      <c r="C16" s="117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4">
      <c r="B17" s="121" t="s">
        <v>415</v>
      </c>
      <c r="C17" s="117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4">
      <c r="B18" s="121" t="s">
        <v>416</v>
      </c>
      <c r="C18" s="117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4">
      <c r="B19" s="121" t="s">
        <v>403</v>
      </c>
      <c r="C19" s="117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4">
      <c r="B20" s="121" t="s">
        <v>649</v>
      </c>
      <c r="C20" s="117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4">
      <c r="B21" s="121" t="s">
        <v>417</v>
      </c>
      <c r="C21" s="117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4">
      <c r="B22" s="121" t="s">
        <v>418</v>
      </c>
      <c r="C22" s="117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4">
      <c r="B23" s="116" t="s">
        <v>419</v>
      </c>
      <c r="C23" s="117"/>
      <c r="D23" s="111">
        <v>15</v>
      </c>
      <c r="E23" s="304">
        <f t="shared" si="0"/>
        <v>1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4">
      <c r="B24" s="116" t="s">
        <v>404</v>
      </c>
      <c r="C24" s="117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4">
      <c r="B25" s="116" t="s">
        <v>405</v>
      </c>
      <c r="C25" s="117"/>
      <c r="D25" s="111">
        <v>17</v>
      </c>
      <c r="E25" s="304">
        <f t="shared" si="0"/>
        <v>1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4">
      <c r="B26" s="121" t="s">
        <v>406</v>
      </c>
      <c r="C26" s="117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4">
      <c r="B27" s="116" t="s">
        <v>407</v>
      </c>
      <c r="C27" s="117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4">
      <c r="B28" s="116" t="s">
        <v>408</v>
      </c>
      <c r="C28" s="117"/>
      <c r="D28" s="111">
        <v>20</v>
      </c>
      <c r="E28" s="304">
        <f t="shared" si="0"/>
        <v>1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4">
      <c r="B29" s="116" t="s">
        <v>409</v>
      </c>
      <c r="C29" s="117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4">
      <c r="B30" s="116" t="s">
        <v>410</v>
      </c>
      <c r="C30" s="117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4">
      <c r="B31" s="121" t="s">
        <v>411</v>
      </c>
      <c r="C31" s="117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4">
      <c r="B32" s="121" t="s">
        <v>412</v>
      </c>
      <c r="C32" s="117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" thickBot="1">
      <c r="B33" s="122" t="s">
        <v>413</v>
      </c>
      <c r="C33" s="123"/>
      <c r="D33" s="124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/>
  </sheetViews>
  <sheetFormatPr baseColWidth="10" defaultColWidth="11.44140625" defaultRowHeight="14.4"/>
  <cols>
    <col min="1" max="3" width="11.44140625" style="128"/>
    <col min="4" max="4" width="19.88671875" style="128" customWidth="1"/>
    <col min="5" max="9" width="16" style="128" customWidth="1"/>
    <col min="10" max="10" width="15.109375" style="128" customWidth="1"/>
    <col min="11" max="12" width="16" style="128" customWidth="1"/>
    <col min="13" max="13" width="15.33203125" style="128" customWidth="1"/>
    <col min="14" max="16384" width="11.44140625" style="128"/>
  </cols>
  <sheetData>
    <row r="1" spans="1:14">
      <c r="A1" s="211" t="s">
        <v>346</v>
      </c>
      <c r="B1" s="212">
        <v>42173</v>
      </c>
      <c r="D1" s="131" t="s">
        <v>456</v>
      </c>
      <c r="F1" s="213" t="s">
        <v>545</v>
      </c>
      <c r="N1" s="214"/>
    </row>
    <row r="2" spans="1:14" ht="26.4">
      <c r="A2" s="215" t="s">
        <v>270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7" t="str">
        <f t="shared" si="3"/>
        <v>HK3</v>
      </c>
      <c r="D13" s="333" t="s">
        <v>652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8" t="s">
        <v>244</v>
      </c>
      <c r="B95" s="128" t="s">
        <v>49</v>
      </c>
      <c r="C95" s="128" t="s">
        <v>316</v>
      </c>
      <c r="D95" s="231" t="s">
        <v>271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8" t="s">
        <v>244</v>
      </c>
      <c r="B96" s="128" t="s">
        <v>54</v>
      </c>
      <c r="C96" s="128" t="s">
        <v>321</v>
      </c>
      <c r="D96" s="231" t="s">
        <v>271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8" t="s">
        <v>244</v>
      </c>
      <c r="B97" s="128" t="s">
        <v>59</v>
      </c>
      <c r="C97" s="128" t="s">
        <v>326</v>
      </c>
      <c r="D97" s="231" t="s">
        <v>271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8" t="s">
        <v>244</v>
      </c>
      <c r="B98" s="128" t="s">
        <v>64</v>
      </c>
      <c r="C98" s="128" t="s">
        <v>331</v>
      </c>
      <c r="D98" s="231" t="s">
        <v>271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8" t="s">
        <v>244</v>
      </c>
      <c r="B99" s="128" t="s">
        <v>17</v>
      </c>
      <c r="C99" s="128" t="s">
        <v>284</v>
      </c>
      <c r="D99" s="231" t="s">
        <v>271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8" t="s">
        <v>244</v>
      </c>
      <c r="B100" s="128" t="s">
        <v>21</v>
      </c>
      <c r="C100" s="128" t="s">
        <v>288</v>
      </c>
      <c r="D100" s="231" t="s">
        <v>271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8" t="s">
        <v>244</v>
      </c>
      <c r="B101" s="128" t="s">
        <v>25</v>
      </c>
      <c r="C101" s="128" t="s">
        <v>292</v>
      </c>
      <c r="D101" s="231" t="s">
        <v>271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8" t="s">
        <v>244</v>
      </c>
      <c r="B102" s="128" t="s">
        <v>29</v>
      </c>
      <c r="C102" s="128" t="s">
        <v>296</v>
      </c>
      <c r="D102" s="231" t="s">
        <v>271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8" t="s">
        <v>244</v>
      </c>
      <c r="B103" s="128" t="s">
        <v>33</v>
      </c>
      <c r="C103" s="128" t="s">
        <v>300</v>
      </c>
      <c r="D103" s="231" t="s">
        <v>271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8" t="s">
        <v>244</v>
      </c>
      <c r="B104" s="128" t="s">
        <v>37</v>
      </c>
      <c r="C104" s="128" t="s">
        <v>304</v>
      </c>
      <c r="D104" s="231" t="s">
        <v>271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8" t="s">
        <v>244</v>
      </c>
      <c r="B105" s="128" t="s">
        <v>41</v>
      </c>
      <c r="C105" s="128" t="s">
        <v>308</v>
      </c>
      <c r="D105" s="231" t="s">
        <v>271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8" t="s">
        <v>244</v>
      </c>
      <c r="B106" s="128" t="s">
        <v>45</v>
      </c>
      <c r="C106" s="128" t="s">
        <v>312</v>
      </c>
      <c r="D106" s="231" t="s">
        <v>271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8" t="s">
        <v>244</v>
      </c>
      <c r="B107" s="128" t="s">
        <v>50</v>
      </c>
      <c r="C107" s="128" t="s">
        <v>317</v>
      </c>
      <c r="D107" s="231" t="s">
        <v>271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8" t="s">
        <v>244</v>
      </c>
      <c r="B108" s="128" t="s">
        <v>55</v>
      </c>
      <c r="C108" s="128" t="s">
        <v>322</v>
      </c>
      <c r="D108" s="231" t="s">
        <v>271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8" t="s">
        <v>244</v>
      </c>
      <c r="B109" s="128" t="s">
        <v>60</v>
      </c>
      <c r="C109" s="128" t="s">
        <v>327</v>
      </c>
      <c r="D109" s="231" t="s">
        <v>271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8" t="s">
        <v>244</v>
      </c>
      <c r="B110" s="128" t="s">
        <v>65</v>
      </c>
      <c r="C110" s="128" t="s">
        <v>332</v>
      </c>
      <c r="D110" s="231" t="s">
        <v>271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8" t="s">
        <v>244</v>
      </c>
      <c r="B111" s="128" t="s">
        <v>5</v>
      </c>
      <c r="C111" s="128" t="s">
        <v>272</v>
      </c>
      <c r="D111" s="231" t="s">
        <v>271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8" t="s">
        <v>244</v>
      </c>
      <c r="B112" s="128" t="s">
        <v>6</v>
      </c>
      <c r="C112" s="128" t="s">
        <v>273</v>
      </c>
      <c r="D112" s="231" t="s">
        <v>271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8" t="s">
        <v>244</v>
      </c>
      <c r="B113" s="128" t="s">
        <v>7</v>
      </c>
      <c r="C113" s="128" t="s">
        <v>274</v>
      </c>
      <c r="D113" s="231" t="s">
        <v>271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8" t="s">
        <v>244</v>
      </c>
      <c r="B114" s="128" t="s">
        <v>8</v>
      </c>
      <c r="C114" s="128" t="s">
        <v>275</v>
      </c>
      <c r="D114" s="231" t="s">
        <v>271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8" t="s">
        <v>244</v>
      </c>
      <c r="B115" s="128" t="s">
        <v>18</v>
      </c>
      <c r="C115" s="128" t="s">
        <v>285</v>
      </c>
      <c r="D115" s="231" t="s">
        <v>271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8" t="s">
        <v>244</v>
      </c>
      <c r="B116" s="128" t="s">
        <v>22</v>
      </c>
      <c r="C116" s="128" t="s">
        <v>289</v>
      </c>
      <c r="D116" s="231" t="s">
        <v>271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8" t="s">
        <v>244</v>
      </c>
      <c r="B117" s="128" t="s">
        <v>26</v>
      </c>
      <c r="C117" s="128" t="s">
        <v>293</v>
      </c>
      <c r="D117" s="231" t="s">
        <v>271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8" t="s">
        <v>244</v>
      </c>
      <c r="B118" s="128" t="s">
        <v>30</v>
      </c>
      <c r="C118" s="128" t="s">
        <v>297</v>
      </c>
      <c r="D118" s="231" t="s">
        <v>271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8" t="s">
        <v>244</v>
      </c>
      <c r="B119" s="128" t="s">
        <v>9</v>
      </c>
      <c r="C119" s="128" t="s">
        <v>276</v>
      </c>
      <c r="D119" s="231" t="s">
        <v>271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8" t="s">
        <v>244</v>
      </c>
      <c r="B120" s="128" t="s">
        <v>11</v>
      </c>
      <c r="C120" s="128" t="s">
        <v>278</v>
      </c>
      <c r="D120" s="231" t="s">
        <v>271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8" t="s">
        <v>244</v>
      </c>
      <c r="B121" s="128" t="s">
        <v>13</v>
      </c>
      <c r="C121" s="128" t="s">
        <v>280</v>
      </c>
      <c r="D121" s="231" t="s">
        <v>271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8" t="s">
        <v>244</v>
      </c>
      <c r="B122" s="128" t="s">
        <v>15</v>
      </c>
      <c r="C122" s="128" t="s">
        <v>282</v>
      </c>
      <c r="D122" s="231" t="s">
        <v>271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8" t="s">
        <v>244</v>
      </c>
      <c r="B123" s="128" t="s">
        <v>51</v>
      </c>
      <c r="C123" s="128" t="s">
        <v>318</v>
      </c>
      <c r="D123" s="231" t="s">
        <v>271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8" t="s">
        <v>244</v>
      </c>
      <c r="B124" s="128" t="s">
        <v>56</v>
      </c>
      <c r="C124" s="128" t="s">
        <v>323</v>
      </c>
      <c r="D124" s="231" t="s">
        <v>271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8" t="s">
        <v>244</v>
      </c>
      <c r="B125" s="128" t="s">
        <v>61</v>
      </c>
      <c r="C125" s="128" t="s">
        <v>328</v>
      </c>
      <c r="D125" s="231" t="s">
        <v>271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8" t="s">
        <v>244</v>
      </c>
      <c r="B126" s="128" t="s">
        <v>66</v>
      </c>
      <c r="C126" s="128" t="s">
        <v>333</v>
      </c>
      <c r="D126" s="231" t="s">
        <v>271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8" t="s">
        <v>244</v>
      </c>
      <c r="B127" s="128" t="s">
        <v>19</v>
      </c>
      <c r="C127" s="128" t="s">
        <v>286</v>
      </c>
      <c r="D127" s="231" t="s">
        <v>271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8" t="s">
        <v>244</v>
      </c>
      <c r="B128" s="128" t="s">
        <v>23</v>
      </c>
      <c r="C128" s="128" t="s">
        <v>290</v>
      </c>
      <c r="D128" s="231" t="s">
        <v>271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8" t="s">
        <v>244</v>
      </c>
      <c r="B129" s="128" t="s">
        <v>27</v>
      </c>
      <c r="C129" s="128" t="s">
        <v>294</v>
      </c>
      <c r="D129" s="231" t="s">
        <v>271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8" t="s">
        <v>244</v>
      </c>
      <c r="B130" s="128" t="s">
        <v>31</v>
      </c>
      <c r="C130" s="128" t="s">
        <v>298</v>
      </c>
      <c r="D130" s="231" t="s">
        <v>271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8" t="s">
        <v>244</v>
      </c>
      <c r="B131" s="128" t="s">
        <v>20</v>
      </c>
      <c r="C131" s="128" t="s">
        <v>287</v>
      </c>
      <c r="D131" s="231" t="s">
        <v>271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8" t="s">
        <v>244</v>
      </c>
      <c r="B132" s="128" t="s">
        <v>24</v>
      </c>
      <c r="C132" s="128" t="s">
        <v>291</v>
      </c>
      <c r="D132" s="231" t="s">
        <v>271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8" t="s">
        <v>244</v>
      </c>
      <c r="B133" s="128" t="s">
        <v>28</v>
      </c>
      <c r="C133" s="128" t="s">
        <v>295</v>
      </c>
      <c r="D133" s="231" t="s">
        <v>271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8" t="s">
        <v>244</v>
      </c>
      <c r="B134" s="128" t="s">
        <v>32</v>
      </c>
      <c r="C134" s="128" t="s">
        <v>299</v>
      </c>
      <c r="D134" s="231" t="s">
        <v>271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8" t="s">
        <v>244</v>
      </c>
      <c r="B135" s="128" t="s">
        <v>34</v>
      </c>
      <c r="C135" s="128" t="s">
        <v>301</v>
      </c>
      <c r="D135" s="231" t="s">
        <v>271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8" t="s">
        <v>244</v>
      </c>
      <c r="B136" s="128" t="s">
        <v>38</v>
      </c>
      <c r="C136" s="128" t="s">
        <v>305</v>
      </c>
      <c r="D136" s="231" t="s">
        <v>271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8" t="s">
        <v>244</v>
      </c>
      <c r="B137" s="128" t="s">
        <v>42</v>
      </c>
      <c r="C137" s="128" t="s">
        <v>309</v>
      </c>
      <c r="D137" s="231" t="s">
        <v>271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8" t="s">
        <v>244</v>
      </c>
      <c r="B138" s="128" t="s">
        <v>46</v>
      </c>
      <c r="C138" s="128" t="s">
        <v>313</v>
      </c>
      <c r="D138" s="231" t="s">
        <v>271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8" t="s">
        <v>244</v>
      </c>
      <c r="B139" s="128" t="s">
        <v>35</v>
      </c>
      <c r="C139" s="128" t="s">
        <v>302</v>
      </c>
      <c r="D139" s="231" t="s">
        <v>271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8" t="s">
        <v>244</v>
      </c>
      <c r="B140" s="128" t="s">
        <v>39</v>
      </c>
      <c r="C140" s="128" t="s">
        <v>306</v>
      </c>
      <c r="D140" s="231" t="s">
        <v>271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8" t="s">
        <v>244</v>
      </c>
      <c r="B141" s="128" t="s">
        <v>43</v>
      </c>
      <c r="C141" s="128" t="s">
        <v>310</v>
      </c>
      <c r="D141" s="231" t="s">
        <v>271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8" t="s">
        <v>244</v>
      </c>
      <c r="B142" s="128" t="s">
        <v>47</v>
      </c>
      <c r="C142" s="128" t="s">
        <v>314</v>
      </c>
      <c r="D142" s="231" t="s">
        <v>271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8" t="s">
        <v>244</v>
      </c>
      <c r="B143" s="128" t="s">
        <v>10</v>
      </c>
      <c r="C143" s="128" t="s">
        <v>277</v>
      </c>
      <c r="D143" s="231" t="s">
        <v>271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8" t="s">
        <v>244</v>
      </c>
      <c r="B144" s="128" t="s">
        <v>12</v>
      </c>
      <c r="C144" s="128" t="s">
        <v>279</v>
      </c>
      <c r="D144" s="231" t="s">
        <v>271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8" t="s">
        <v>244</v>
      </c>
      <c r="B145" s="128" t="s">
        <v>14</v>
      </c>
      <c r="C145" s="128" t="s">
        <v>281</v>
      </c>
      <c r="D145" s="231" t="s">
        <v>271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8" t="s">
        <v>244</v>
      </c>
      <c r="B146" s="128" t="s">
        <v>16</v>
      </c>
      <c r="C146" s="128" t="s">
        <v>283</v>
      </c>
      <c r="D146" s="231" t="s">
        <v>271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8" t="s">
        <v>244</v>
      </c>
      <c r="B147" s="128" t="s">
        <v>36</v>
      </c>
      <c r="C147" s="128" t="s">
        <v>303</v>
      </c>
      <c r="D147" s="231" t="s">
        <v>271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8" t="s">
        <v>244</v>
      </c>
      <c r="B148" s="128" t="s">
        <v>40</v>
      </c>
      <c r="C148" s="128" t="s">
        <v>307</v>
      </c>
      <c r="D148" s="231" t="s">
        <v>271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8" t="s">
        <v>244</v>
      </c>
      <c r="B149" s="128" t="s">
        <v>44</v>
      </c>
      <c r="C149" s="128" t="s">
        <v>311</v>
      </c>
      <c r="D149" s="231" t="s">
        <v>271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8" t="s">
        <v>244</v>
      </c>
      <c r="B150" s="128" t="s">
        <v>48</v>
      </c>
      <c r="C150" s="128" t="s">
        <v>315</v>
      </c>
      <c r="D150" s="231" t="s">
        <v>271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8" t="s">
        <v>244</v>
      </c>
      <c r="B151" s="128" t="s">
        <v>52</v>
      </c>
      <c r="C151" s="128" t="s">
        <v>319</v>
      </c>
      <c r="D151" s="231" t="s">
        <v>271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8" t="s">
        <v>244</v>
      </c>
      <c r="B152" s="128" t="s">
        <v>57</v>
      </c>
      <c r="C152" s="128" t="s">
        <v>324</v>
      </c>
      <c r="D152" s="231" t="s">
        <v>271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8" t="s">
        <v>244</v>
      </c>
      <c r="B153" s="128" t="s">
        <v>62</v>
      </c>
      <c r="C153" s="128" t="s">
        <v>329</v>
      </c>
      <c r="D153" s="231" t="s">
        <v>271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8" t="s">
        <v>244</v>
      </c>
      <c r="B154" s="128" t="s">
        <v>67</v>
      </c>
      <c r="C154" s="128" t="s">
        <v>334</v>
      </c>
      <c r="D154" s="231" t="s">
        <v>271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8" t="s">
        <v>244</v>
      </c>
      <c r="B155" s="128" t="s">
        <v>53</v>
      </c>
      <c r="C155" s="128" t="s">
        <v>320</v>
      </c>
      <c r="D155" s="231" t="s">
        <v>271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8" t="s">
        <v>244</v>
      </c>
      <c r="B156" s="128" t="s">
        <v>58</v>
      </c>
      <c r="C156" s="128" t="s">
        <v>325</v>
      </c>
      <c r="D156" s="231" t="s">
        <v>271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8" t="s">
        <v>244</v>
      </c>
      <c r="B157" s="128" t="s">
        <v>63</v>
      </c>
      <c r="C157" s="128" t="s">
        <v>330</v>
      </c>
      <c r="D157" s="231" t="s">
        <v>271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8" t="s">
        <v>244</v>
      </c>
      <c r="B158" s="128" t="s">
        <v>68</v>
      </c>
      <c r="C158" s="128" t="s">
        <v>335</v>
      </c>
      <c r="D158" s="231" t="s">
        <v>271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zoomScaleNormal="100" zoomScaleSheetLayoutView="80" workbookViewId="0"/>
  </sheetViews>
  <sheetFormatPr baseColWidth="10" defaultColWidth="11.44140625" defaultRowHeight="14.4"/>
  <cols>
    <col min="1" max="1" width="9.6640625" style="253" customWidth="1"/>
    <col min="2" max="2" width="7" style="254" customWidth="1"/>
    <col min="3" max="3" width="27.6640625" style="233" customWidth="1"/>
    <col min="4" max="10" width="8.88671875" style="233" customWidth="1"/>
    <col min="11" max="14" width="11.44140625" style="233" customWidth="1"/>
    <col min="15" max="15" width="12.33203125" style="128" customWidth="1"/>
    <col min="16" max="16" width="16.5546875" style="233" customWidth="1"/>
    <col min="17" max="16384" width="11.44140625" style="233"/>
  </cols>
  <sheetData>
    <row r="1" spans="1:16" s="232" customFormat="1">
      <c r="A1" s="131" t="s">
        <v>457</v>
      </c>
      <c r="B1" s="128"/>
      <c r="D1" s="213" t="s">
        <v>545</v>
      </c>
    </row>
    <row r="2" spans="1:16">
      <c r="A2" s="233"/>
      <c r="B2" s="232" t="s">
        <v>458</v>
      </c>
    </row>
    <row r="3" spans="1:16" ht="20.100000000000001" customHeight="1">
      <c r="A3" s="353" t="s">
        <v>247</v>
      </c>
      <c r="B3" s="234" t="s">
        <v>85</v>
      </c>
      <c r="C3" s="235"/>
      <c r="D3" s="355" t="s">
        <v>459</v>
      </c>
      <c r="E3" s="356"/>
      <c r="F3" s="356"/>
      <c r="G3" s="356"/>
      <c r="H3" s="356"/>
      <c r="I3" s="356"/>
      <c r="J3" s="357"/>
      <c r="K3" s="236"/>
      <c r="L3" s="236"/>
      <c r="M3" s="236"/>
      <c r="N3" s="236"/>
      <c r="O3" s="237"/>
      <c r="P3" s="236"/>
    </row>
    <row r="4" spans="1:16" ht="20.100000000000001" customHeight="1">
      <c r="A4" s="354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249</v>
      </c>
      <c r="P5" s="244" t="s">
        <v>248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9.6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252</v>
      </c>
      <c r="O11" s="246" t="s">
        <v>250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252</v>
      </c>
      <c r="O12" s="246" t="s">
        <v>250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252</v>
      </c>
      <c r="O13" s="246" t="s">
        <v>250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252</v>
      </c>
      <c r="O14" s="246" t="s">
        <v>250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252</v>
      </c>
      <c r="O15" s="246" t="s">
        <v>250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252</v>
      </c>
      <c r="O16" s="246" t="s">
        <v>250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252</v>
      </c>
      <c r="O17" s="246" t="s">
        <v>251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252</v>
      </c>
      <c r="O18" s="246" t="s">
        <v>251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252</v>
      </c>
      <c r="O19" s="246" t="s">
        <v>251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252</v>
      </c>
      <c r="O20" s="246" t="s">
        <v>251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252</v>
      </c>
      <c r="O21" s="246" t="s">
        <v>251</v>
      </c>
      <c r="P21" s="240" t="s">
        <v>116</v>
      </c>
    </row>
    <row r="22" spans="1:16" ht="26.4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252</v>
      </c>
      <c r="O22" s="246" t="s">
        <v>251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Theurich, Inga</cp:lastModifiedBy>
  <cp:lastPrinted>2015-03-20T22:59:10Z</cp:lastPrinted>
  <dcterms:created xsi:type="dcterms:W3CDTF">2015-01-15T05:25:41Z</dcterms:created>
  <dcterms:modified xsi:type="dcterms:W3CDTF">2019-01-07T10:05:15Z</dcterms:modified>
</cp:coreProperties>
</file>